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tabRatio="942" activeTab="0"/>
  </bookViews>
  <sheets>
    <sheet name="REGISTRO CONSUMO DEL AGUA" sheetId="1" r:id="rId1"/>
    <sheet name="REGISTRO GEN. RES.SOL URB." sheetId="2" r:id="rId2"/>
    <sheet name="REGISTRO CONSUMO DEL PAPEL" sheetId="3" r:id="rId3"/>
    <sheet name="REGISTRO CONSUMO ENERGÍA ELEC." sheetId="4" r:id="rId4"/>
    <sheet name=" " sheetId="5" r:id="rId5"/>
    <sheet name="REG.IND.PLAN.RECT.POR TRIMESTRE" sheetId="6" r:id="rId6"/>
    <sheet name="RESUMEN IND. DE CUMPLIMIENTO" sheetId="7" r:id="rId7"/>
    <sheet name="GRAFICOS COMPARATIVOS POR AÑO" sheetId="8" r:id="rId8"/>
    <sheet name="personas en el ITESZ Por año" sheetId="9" r:id="rId9"/>
  </sheets>
  <definedNames>
    <definedName name="_xlnm.Print_Area" localSheetId="7">'GRAFICOS COMPARATIVOS POR AÑO'!$A$1:$N$23</definedName>
    <definedName name="_xlnm.Print_Area" localSheetId="5">'REG.IND.PLAN.RECT.POR TRIMESTRE'!$A$1:$L$12</definedName>
  </definedNames>
  <calcPr fullCalcOnLoad="1"/>
</workbook>
</file>

<file path=xl/comments2.xml><?xml version="1.0" encoding="utf-8"?>
<comments xmlns="http://schemas.openxmlformats.org/spreadsheetml/2006/main">
  <authors>
    <author>windows</author>
  </authors>
  <commentList>
    <comment ref="N17" authorId="0">
      <text>
        <r>
          <rPr>
            <b/>
            <sz val="9"/>
            <rFont val="Tahoma"/>
            <family val="2"/>
          </rPr>
          <t>windows:</t>
        </r>
        <r>
          <rPr>
            <sz val="9"/>
            <rFont val="Tahoma"/>
            <family val="2"/>
          </rPr>
          <t xml:space="preserve">
promedio de personas
</t>
        </r>
      </text>
    </comment>
    <comment ref="N34" authorId="0">
      <text>
        <r>
          <rPr>
            <b/>
            <sz val="9"/>
            <rFont val="Tahoma"/>
            <family val="2"/>
          </rPr>
          <t>windows:</t>
        </r>
        <r>
          <rPr>
            <sz val="9"/>
            <rFont val="Tahoma"/>
            <family val="2"/>
          </rPr>
          <t xml:space="preserve">
promedio de personas
</t>
        </r>
      </text>
    </comment>
  </commentList>
</comments>
</file>

<file path=xl/comments3.xml><?xml version="1.0" encoding="utf-8"?>
<comments xmlns="http://schemas.openxmlformats.org/spreadsheetml/2006/main">
  <authors>
    <author>windows</author>
  </authors>
  <commentList>
    <comment ref="D16" authorId="0">
      <text>
        <r>
          <rPr>
            <b/>
            <sz val="9"/>
            <rFont val="Tahoma"/>
            <family val="2"/>
          </rPr>
          <t>windows:</t>
        </r>
        <r>
          <rPr>
            <sz val="9"/>
            <rFont val="Tahoma"/>
            <family val="2"/>
          </rPr>
          <t xml:space="preserve">
promedio</t>
        </r>
      </text>
    </comment>
  </commentList>
</comments>
</file>

<file path=xl/comments7.xml><?xml version="1.0" encoding="utf-8"?>
<comments xmlns="http://schemas.openxmlformats.org/spreadsheetml/2006/main">
  <authors>
    <author>Instituto Tecnologico Superior de Escarcega</author>
  </authors>
  <commentList>
    <comment ref="F21" authorId="0">
      <text>
        <r>
          <rPr>
            <b/>
            <sz val="8"/>
            <rFont val="Tahoma"/>
            <family val="2"/>
          </rPr>
          <t>las metas que aquí se describan son las planteadas por cada ITS.</t>
        </r>
      </text>
    </comment>
  </commentList>
</comments>
</file>

<file path=xl/sharedStrings.xml><?xml version="1.0" encoding="utf-8"?>
<sst xmlns="http://schemas.openxmlformats.org/spreadsheetml/2006/main" count="378" uniqueCount="174">
  <si>
    <t>No.</t>
  </si>
  <si>
    <t>Aspecto Ambiental</t>
  </si>
  <si>
    <t>Medidor/ Indicador</t>
  </si>
  <si>
    <t>Conclusiones - Indicar acciones realizadas por no cumplimiento de Indicadores</t>
  </si>
  <si>
    <t>Primer Trimestre</t>
  </si>
  <si>
    <t>Segundo Trimestre</t>
  </si>
  <si>
    <t>Tercer Trimestre</t>
  </si>
  <si>
    <t>Cuarto Trimestre</t>
  </si>
  <si>
    <t>USO DEL AGUA</t>
  </si>
  <si>
    <t xml:space="preserve">GENERACIÓN DE RESIDUOS SÓLIDOS </t>
  </si>
  <si>
    <t>Kg/persona</t>
  </si>
  <si>
    <t xml:space="preserve"> Kg/persona </t>
  </si>
  <si>
    <t>USO DE ENERGÍA ELÉCTRICA</t>
  </si>
  <si>
    <t>Kw-H/ persona</t>
  </si>
  <si>
    <t>Indicador Anual</t>
  </si>
  <si>
    <t xml:space="preserve">Indicador Anual </t>
  </si>
  <si>
    <t>RSU´s</t>
  </si>
  <si>
    <t>Papel</t>
  </si>
  <si>
    <t>Energía Eléctrica</t>
  </si>
  <si>
    <t>Indicador</t>
  </si>
  <si>
    <t>Consumo de Agua</t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</si>
  <si>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/ persona</t>
    </r>
  </si>
  <si>
    <t>RSU´s Enviados al Municipio</t>
  </si>
  <si>
    <t>Consumo de Papel</t>
  </si>
  <si>
    <t>Consumo de Energía Eléctrica</t>
  </si>
  <si>
    <t>Indicador alcanzado</t>
  </si>
  <si>
    <t>Indicador no alcanzado</t>
  </si>
  <si>
    <t>UNIDAD DE MEDIDA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</si>
  <si>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 persona</t>
    </r>
  </si>
  <si>
    <t>Descripción</t>
  </si>
  <si>
    <t>PORCENTAJES</t>
  </si>
  <si>
    <t>Agua RIEGO</t>
  </si>
  <si>
    <t>Resultado 2015</t>
  </si>
  <si>
    <t xml:space="preserve">Fecha de modificación: </t>
  </si>
  <si>
    <t>AGUA RIEGO</t>
  </si>
  <si>
    <t>Agua  CONSUMO</t>
  </si>
  <si>
    <t>Resultado 2016</t>
  </si>
  <si>
    <t>REPORTE DE INDICADORES DEL PLAN RECTOR 2015-2016</t>
  </si>
  <si>
    <r>
      <t xml:space="preserve">2015
</t>
    </r>
    <r>
      <rPr>
        <sz val="12"/>
        <color indexed="8"/>
        <rFont val="Calibri"/>
        <family val="2"/>
      </rPr>
      <t>Alcanzado</t>
    </r>
  </si>
  <si>
    <t>Metas 2016</t>
  </si>
  <si>
    <t>INSTITUTO TECNOLÓGICO DE ESTUDIOS SUPERIORES DE ZAMORA</t>
  </si>
  <si>
    <t>Optimizar y Reducir el consumo de agua</t>
  </si>
  <si>
    <t xml:space="preserve">Reducir la generación de Residuos Sólidos Urbanos (RSU´s) enviados al municipio </t>
  </si>
  <si>
    <t xml:space="preserve">Reducir el consumo de papel </t>
  </si>
  <si>
    <t>Reducir el consumo de Energía Eléctrica</t>
  </si>
  <si>
    <t>Objetivo</t>
  </si>
  <si>
    <t>Año</t>
  </si>
  <si>
    <t>Mes</t>
  </si>
  <si>
    <t>Consumo (m3)</t>
  </si>
  <si>
    <t>No. Personas</t>
  </si>
  <si>
    <t>m3/      Persona</t>
  </si>
  <si>
    <t>2015/  2016</t>
  </si>
  <si>
    <t>Enero</t>
  </si>
  <si>
    <t>Febrero</t>
  </si>
  <si>
    <t>Marzo</t>
  </si>
  <si>
    <t>Abril</t>
  </si>
  <si>
    <t>Mayo</t>
  </si>
  <si>
    <t>Junio</t>
  </si>
  <si>
    <t>Consumo anual</t>
  </si>
  <si>
    <t>Unidades de medida física</t>
  </si>
  <si>
    <t>Factor de emisión (Kg CO2 eq/ud)</t>
  </si>
  <si>
    <t>Kg de CO2 eq</t>
  </si>
  <si>
    <t>Julio</t>
  </si>
  <si>
    <t>m3</t>
  </si>
  <si>
    <t>Kg de CO2 eq/m3 de agua</t>
  </si>
  <si>
    <t>Agosto</t>
  </si>
  <si>
    <t>Septiembre</t>
  </si>
  <si>
    <t>Octubre</t>
  </si>
  <si>
    <t>Noviembre</t>
  </si>
  <si>
    <t>Diciembre</t>
  </si>
  <si>
    <t>Total</t>
  </si>
  <si>
    <t>Variación Anual</t>
  </si>
  <si>
    <t>Trimestre 1</t>
  </si>
  <si>
    <t>Trimestre 2</t>
  </si>
  <si>
    <t>Trimestre 3</t>
  </si>
  <si>
    <t>Trimestre 4</t>
  </si>
  <si>
    <t>Prom.m3/persona</t>
  </si>
  <si>
    <t>% variacion</t>
  </si>
  <si>
    <t>Consumo de Agua en el Instituto Tecnologico de Estudios Superiores de Zamora</t>
  </si>
  <si>
    <t>Consumo trimestral</t>
  </si>
  <si>
    <t>Año 2015</t>
  </si>
  <si>
    <t>Año 2016</t>
  </si>
  <si>
    <t xml:space="preserve">Cálculo de emisiones totales con base a consumo energético del AGUA </t>
  </si>
  <si>
    <t>AÑO</t>
  </si>
  <si>
    <t>CONSUMO ANUAL</t>
  </si>
  <si>
    <t>MEDIDA FÍSICA</t>
  </si>
  <si>
    <t>(Eq/Ud)</t>
  </si>
  <si>
    <t>Cartón</t>
  </si>
  <si>
    <t>Plástico</t>
  </si>
  <si>
    <t>Vidrio</t>
  </si>
  <si>
    <t>Aluminio</t>
  </si>
  <si>
    <t>Metal</t>
  </si>
  <si>
    <t>RSU´s al Municipio</t>
  </si>
  <si>
    <t>Kg/  persona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</si>
  <si>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</si>
  <si>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</si>
  <si>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</si>
  <si>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</si>
  <si>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</si>
  <si>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</si>
  <si>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</si>
  <si>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</si>
  <si>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</si>
  <si>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</si>
  <si>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</si>
  <si>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</si>
  <si>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Kg / Persona</t>
  </si>
  <si>
    <t>Producto</t>
  </si>
  <si>
    <t>Kg</t>
  </si>
  <si>
    <t>Kg Totales</t>
  </si>
  <si>
    <t>% Reciclados</t>
  </si>
  <si>
    <t>suma</t>
  </si>
  <si>
    <t>TOTALES</t>
  </si>
  <si>
    <t>Otros.                                      Al municipio</t>
  </si>
  <si>
    <t>Generación de Residuos Solidos urbanos en el Instituto Tecnologico de Estudios Superiores de Zamora</t>
  </si>
  <si>
    <t>Kg/  persona promedio Res. Ur. al municipio</t>
  </si>
  <si>
    <t>Kg/  persona promedio Todos los residuos Urb.</t>
  </si>
  <si>
    <t>AÑO 2015</t>
  </si>
  <si>
    <t>AÑO 2016</t>
  </si>
  <si>
    <t>"Composta" reuso</t>
  </si>
  <si>
    <t>Orgánicos al municipio</t>
  </si>
  <si>
    <t>Servilletas/Papel Higiénico.                                Al municipio</t>
  </si>
  <si>
    <t>RSU, Kg Enviados al Mpio</t>
  </si>
  <si>
    <t>RSU, Kg Reciclados</t>
  </si>
  <si>
    <t>Kg/  persona promedio reciclados</t>
  </si>
  <si>
    <t>Kg/  persona promedio No reciclados</t>
  </si>
  <si>
    <t>Consumo (Kg)</t>
  </si>
  <si>
    <t>Kg/Trabajador</t>
  </si>
  <si>
    <t>Variacion Anual</t>
  </si>
  <si>
    <t>FACTORES DE EMISIÓN DE OTROS PRODUCTOS</t>
  </si>
  <si>
    <t>Papel común</t>
  </si>
  <si>
    <t>Kg de CO2 eq/Kg de papel común</t>
  </si>
  <si>
    <t>Papel reciclado</t>
  </si>
  <si>
    <t>Kg de CO2 eq/Kg de papel reciclado</t>
  </si>
  <si>
    <t>Consumo de Papel Bon en el Instituto Tecnologico de Estudios Superiores de Zamora</t>
  </si>
  <si>
    <t>Consumo</t>
  </si>
  <si>
    <t>Kwh/ Persona</t>
  </si>
  <si>
    <t>2015/2016</t>
  </si>
  <si>
    <t>FACTOR DE EMISIÓN DE CONSUMO ELÉCTRICO</t>
  </si>
  <si>
    <t>Factor de emisión (Kg de CO2 eq/kWh)</t>
  </si>
  <si>
    <t>kWh</t>
  </si>
  <si>
    <t>Kg de CO2 eq/kWh</t>
  </si>
  <si>
    <t>Kwh/persona</t>
  </si>
  <si>
    <t>Consumo de Energía Eléctrica en el Instituto Tecnologico de Estudios Superiores de Zamora</t>
  </si>
  <si>
    <t>m3 por persona</t>
  </si>
  <si>
    <t>Consumo trimestral kg</t>
  </si>
  <si>
    <t>Consumo trimestral GENERAL</t>
  </si>
  <si>
    <t>Consumo trimestral KWH/Persona</t>
  </si>
  <si>
    <t>No. PERSONAS</t>
  </si>
  <si>
    <t xml:space="preserve">Consumo de Agua </t>
  </si>
  <si>
    <t>oct</t>
  </si>
  <si>
    <t>RSU trimestral Kg/persona</t>
  </si>
  <si>
    <t>Meta 2015</t>
  </si>
  <si>
    <t>ALCANZADO 2016</t>
  </si>
  <si>
    <t>PROMEDIO MATRICULA PERSONAS 2015</t>
  </si>
  <si>
    <t>PROMEDIO MATRICULA PERSONAS 2016</t>
  </si>
  <si>
    <t>Crecimiento en base a PROPORCIÓN</t>
  </si>
  <si>
    <r>
      <rPr>
        <sz val="16"/>
        <color indexed="8"/>
        <rFont val="Calibri"/>
        <family val="2"/>
      </rPr>
      <t>% alcanzado</t>
    </r>
    <r>
      <rPr>
        <sz val="10"/>
        <color indexed="8"/>
        <rFont val="Calibri"/>
        <family val="2"/>
      </rPr>
      <t xml:space="preserve"> sin considerar  el crecimiento de matricula de personas.</t>
    </r>
    <r>
      <rPr>
        <sz val="10"/>
        <color indexed="10"/>
        <rFont val="Calibri"/>
        <family val="2"/>
      </rPr>
      <t xml:space="preserve">
+ Reduccion
- Incremento</t>
    </r>
  </si>
  <si>
    <r>
      <t xml:space="preserve">Alcanzado
</t>
    </r>
    <r>
      <rPr>
        <sz val="18"/>
        <color indexed="8"/>
        <rFont val="Calibri"/>
        <family val="2"/>
      </rPr>
      <t>2016</t>
    </r>
  </si>
  <si>
    <r>
      <rPr>
        <b/>
        <sz val="16"/>
        <color indexed="8"/>
        <rFont val="Calibri"/>
        <family val="2"/>
      </rPr>
      <t>% alcanzado REAL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+ Reduccion
</t>
    </r>
    <r>
      <rPr>
        <b/>
        <sz val="12"/>
        <color indexed="10"/>
        <rFont val="Calibri"/>
        <family val="2"/>
      </rPr>
      <t>- Incremento</t>
    </r>
  </si>
  <si>
    <t>OBSERVACIONES</t>
  </si>
  <si>
    <t>Reducir o mantener  de manera anual, con vigilancia mensual</t>
  </si>
  <si>
    <t>Reducir o mantener de manera anual, con vigilancia mensual</t>
  </si>
  <si>
    <t>Consumo trimestral general KG</t>
  </si>
  <si>
    <r>
      <t xml:space="preserve">Fecha: </t>
    </r>
    <r>
      <rPr>
        <u val="single"/>
        <sz val="11"/>
        <color indexed="8"/>
        <rFont val="Calibri"/>
        <family val="2"/>
      </rPr>
      <t xml:space="preserve">30 </t>
    </r>
    <r>
      <rPr>
        <u val="single"/>
        <sz val="11"/>
        <color indexed="8"/>
        <rFont val="Calibri"/>
        <family val="2"/>
      </rPr>
      <t>DE OCTUBRE DE 2016</t>
    </r>
  </si>
  <si>
    <r>
      <t>ITS:</t>
    </r>
    <r>
      <rPr>
        <b/>
        <sz val="14"/>
        <color indexed="8"/>
        <rFont val="Calibri"/>
        <family val="2"/>
      </rPr>
      <t xml:space="preserve"> INSTITUTO TECNOLÓGICO DE ESTUDIOS SUPERIORES DE ZAMORA</t>
    </r>
  </si>
  <si>
    <t>Revisión por la Dirección
Sistema de Gestión Ambiental iso 14001:2004</t>
  </si>
  <si>
    <t>PLAN RECTOR  ESTATUS DE CUMPLIMIENTO DE OBJETIVOS, METAS E INDICADORES</t>
  </si>
  <si>
    <t>POLÍTICA AMBIENTAL</t>
  </si>
  <si>
    <t xml:space="preserve">El TecNM establece el compromiso de brindar un servicio educativo de calidad mejorando continuamente sus procesos en armonía con el medio ambiente, orientándolos hacia el uso eficiente de los recursos naturales y hacia el cumplimiento de los requisitos legales aplicables, mediante la implementación y difusión de objetivos y acciones para prevenir y reducir la contaminación a través de la mejora continua y la eficacia del Sistema de Gestión Ambiental, conforme a la Norma ISO 14001, así como promoviendo la igualdad de oportunidades e instrumentando acciones afirmativas y/o a favor del personal.
</t>
  </si>
  <si>
    <r>
      <t>Reducir o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mantener</t>
    </r>
    <r>
      <rPr>
        <b/>
        <sz val="12"/>
        <rFont val="Arial"/>
        <family val="2"/>
      </rPr>
      <t xml:space="preserve"> de manera anual, con vigilancia mensual</t>
    </r>
  </si>
  <si>
    <r>
      <t>Reducir o mantener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de manera anual, con vigilancia mensual</t>
    </r>
  </si>
  <si>
    <r>
      <t>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/ persona </t>
    </r>
  </si>
  <si>
    <r>
      <rPr>
        <b/>
        <sz val="12"/>
        <color indexed="8"/>
        <rFont val="Calibri"/>
        <family val="2"/>
      </rPr>
      <t xml:space="preserve">META. </t>
    </r>
    <r>
      <rPr>
        <sz val="12"/>
        <color indexed="8"/>
        <rFont val="Calibri"/>
        <family val="2"/>
      </rPr>
      <t xml:space="preserve">Reduccion o mantener (proporcion incremento de matricula y personal)
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</si>
</sst>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0.000%"/>
    <numFmt numFmtId="175" formatCode="0.0000"/>
    <numFmt numFmtId="176" formatCode="0.0"/>
    <numFmt numFmtId="177" formatCode="_(* #,##0.00_);_(* \(#,##0.00\);_(* &quot;-&quot;??_);_(@_)"/>
    <numFmt numFmtId="178" formatCode="0.00000"/>
    <numFmt numFmtId="179" formatCode="0.00000000"/>
    <numFmt numFmtId="180" formatCode="0.0000000"/>
    <numFmt numFmtId="181" formatCode="0.000000"/>
    <numFmt numFmtId="182" formatCode="_-* #,##0.0_-;\-* #,##0.0_-;_-* &quot;-&quot;??_-;_-@_-"/>
    <numFmt numFmtId="183" formatCode="_-* #,##0_-;\-* #,##0_-;_-* &quot;-&quot;??_-;_-@_-"/>
    <numFmt numFmtId="184" formatCode="_-* #,##0.0_-;\-* #,##0.0_-;_-* &quot;-&quot;?_-;_-@_-"/>
    <numFmt numFmtId="185" formatCode="_-* #,##0.0\ _€_-;\-* #,##0.0\ _€_-;_-* &quot;-&quot;??\ _€_-;_-@_-"/>
    <numFmt numFmtId="186" formatCode="_-* #,##0\ _€_-;\-* #,##0\ _€_-;_-* &quot;-&quot;??\ _€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sz val="10"/>
      <color indexed="10"/>
      <name val="Calibri"/>
      <family val="2"/>
    </font>
    <font>
      <u val="single"/>
      <sz val="11"/>
      <color indexed="8"/>
      <name val="Calibri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color indexed="8"/>
      <name val="Calibri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12"/>
      <color indexed="10"/>
      <name val="Arial"/>
      <family val="2"/>
    </font>
    <font>
      <b/>
      <vertAlign val="superscript"/>
      <sz val="14"/>
      <name val="Arial"/>
      <family val="2"/>
    </font>
    <font>
      <sz val="10"/>
      <color indexed="57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5"/>
      <color indexed="8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17"/>
      <name val="Calibri"/>
      <family val="2"/>
    </font>
    <font>
      <b/>
      <sz val="26"/>
      <color indexed="8"/>
      <name val="Calibri"/>
      <family val="2"/>
    </font>
    <font>
      <b/>
      <sz val="25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5"/>
      <color theme="1"/>
      <name val="Calibri"/>
      <family val="2"/>
    </font>
    <font>
      <b/>
      <sz val="16"/>
      <color theme="1"/>
      <name val="Arial"/>
      <family val="2"/>
    </font>
    <font>
      <b/>
      <sz val="8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2"/>
      <color theme="6" tint="-0.4999699890613556"/>
      <name val="Calibri"/>
      <family val="2"/>
    </font>
    <font>
      <b/>
      <sz val="26"/>
      <color theme="1"/>
      <name val="Calibri"/>
      <family val="2"/>
    </font>
    <font>
      <b/>
      <sz val="25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D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3DE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/>
      <top>
        <color indexed="63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7" fillId="0" borderId="8" applyNumberFormat="0" applyFill="0" applyAlignment="0" applyProtection="0"/>
    <xf numFmtId="0" fontId="88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9" fillId="38" borderId="10" xfId="0" applyFont="1" applyFill="1" applyBorder="1" applyAlignment="1">
      <alignment horizontal="center" vertical="center" wrapText="1"/>
    </xf>
    <xf numFmtId="0" fontId="90" fillId="8" borderId="10" xfId="0" applyFont="1" applyFill="1" applyBorder="1" applyAlignment="1">
      <alignment vertical="center"/>
    </xf>
    <xf numFmtId="0" fontId="90" fillId="16" borderId="10" xfId="0" applyFont="1" applyFill="1" applyBorder="1" applyAlignment="1">
      <alignment vertical="center"/>
    </xf>
    <xf numFmtId="0" fontId="90" fillId="19" borderId="10" xfId="0" applyFont="1" applyFill="1" applyBorder="1" applyAlignment="1">
      <alignment vertical="center"/>
    </xf>
    <xf numFmtId="0" fontId="90" fillId="39" borderId="10" xfId="0" applyFont="1" applyFill="1" applyBorder="1" applyAlignment="1">
      <alignment vertical="center"/>
    </xf>
    <xf numFmtId="1" fontId="0" fillId="0" borderId="0" xfId="0" applyNumberFormat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90" fillId="0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175" fontId="0" fillId="41" borderId="0" xfId="0" applyNumberFormat="1" applyFill="1" applyAlignment="1">
      <alignment/>
    </xf>
    <xf numFmtId="175" fontId="0" fillId="41" borderId="0" xfId="0" applyNumberFormat="1" applyFill="1" applyAlignment="1">
      <alignment horizontal="center"/>
    </xf>
    <xf numFmtId="2" fontId="0" fillId="41" borderId="0" xfId="0" applyNumberFormat="1" applyFill="1" applyAlignment="1">
      <alignment/>
    </xf>
    <xf numFmtId="0" fontId="8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/>
    </xf>
    <xf numFmtId="9" fontId="0" fillId="41" borderId="10" xfId="55" applyFont="1" applyFill="1" applyBorder="1" applyAlignment="1">
      <alignment/>
    </xf>
    <xf numFmtId="172" fontId="0" fillId="0" borderId="0" xfId="55" applyNumberFormat="1" applyFont="1" applyFill="1" applyBorder="1" applyAlignment="1">
      <alignment horizontal="right"/>
    </xf>
    <xf numFmtId="9" fontId="0" fillId="0" borderId="0" xfId="55" applyFont="1" applyFill="1" applyBorder="1" applyAlignment="1">
      <alignment/>
    </xf>
    <xf numFmtId="0" fontId="0" fillId="0" borderId="0" xfId="0" applyFill="1" applyAlignment="1">
      <alignment/>
    </xf>
    <xf numFmtId="1" fontId="91" fillId="41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2" fontId="0" fillId="0" borderId="0" xfId="55" applyNumberFormat="1" applyFon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92" fillId="41" borderId="0" xfId="0" applyFont="1" applyFill="1" applyBorder="1" applyAlignment="1">
      <alignment/>
    </xf>
    <xf numFmtId="0" fontId="88" fillId="41" borderId="10" xfId="0" applyFont="1" applyFill="1" applyBorder="1" applyAlignment="1">
      <alignment horizontal="left"/>
    </xf>
    <xf numFmtId="1" fontId="0" fillId="41" borderId="10" xfId="0" applyNumberFormat="1" applyFill="1" applyBorder="1" applyAlignment="1">
      <alignment horizontal="center"/>
    </xf>
    <xf numFmtId="0" fontId="88" fillId="41" borderId="10" xfId="0" applyFont="1" applyFill="1" applyBorder="1" applyAlignment="1">
      <alignment/>
    </xf>
    <xf numFmtId="172" fontId="0" fillId="0" borderId="10" xfId="55" applyNumberFormat="1" applyFont="1" applyFill="1" applyBorder="1" applyAlignment="1">
      <alignment horizontal="center"/>
    </xf>
    <xf numFmtId="0" fontId="0" fillId="41" borderId="10" xfId="0" applyFill="1" applyBorder="1" applyAlignment="1">
      <alignment/>
    </xf>
    <xf numFmtId="176" fontId="55" fillId="41" borderId="10" xfId="0" applyNumberFormat="1" applyFont="1" applyFill="1" applyBorder="1" applyAlignment="1">
      <alignment horizontal="center"/>
    </xf>
    <xf numFmtId="173" fontId="0" fillId="41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76" fontId="55" fillId="0" borderId="10" xfId="0" applyNumberFormat="1" applyFont="1" applyFill="1" applyBorder="1" applyAlignment="1">
      <alignment horizontal="center"/>
    </xf>
    <xf numFmtId="2" fontId="55" fillId="41" borderId="10" xfId="0" applyNumberFormat="1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3" fontId="88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88" fillId="42" borderId="10" xfId="0" applyFont="1" applyFill="1" applyBorder="1" applyAlignment="1">
      <alignment horizontal="center"/>
    </xf>
    <xf numFmtId="0" fontId="88" fillId="42" borderId="11" xfId="0" applyFont="1" applyFill="1" applyBorder="1" applyAlignment="1">
      <alignment horizontal="center" vertical="center" wrapText="1"/>
    </xf>
    <xf numFmtId="0" fontId="88" fillId="42" borderId="12" xfId="0" applyFont="1" applyFill="1" applyBorder="1" applyAlignment="1">
      <alignment horizontal="center" vertical="center" wrapText="1"/>
    </xf>
    <xf numFmtId="0" fontId="88" fillId="42" borderId="13" xfId="0" applyFont="1" applyFill="1" applyBorder="1" applyAlignment="1">
      <alignment horizontal="center" vertical="center" wrapText="1"/>
    </xf>
    <xf numFmtId="0" fontId="88" fillId="42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93" fillId="38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93" fillId="41" borderId="14" xfId="0" applyFont="1" applyFill="1" applyBorder="1" applyAlignment="1">
      <alignment/>
    </xf>
    <xf numFmtId="1" fontId="95" fillId="0" borderId="15" xfId="0" applyNumberFormat="1" applyFont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93" fillId="41" borderId="17" xfId="0" applyFont="1" applyFill="1" applyBorder="1" applyAlignment="1">
      <alignment/>
    </xf>
    <xf numFmtId="0" fontId="96" fillId="0" borderId="10" xfId="0" applyFont="1" applyBorder="1" applyAlignment="1">
      <alignment horizontal="center"/>
    </xf>
    <xf numFmtId="173" fontId="0" fillId="41" borderId="0" xfId="0" applyNumberFormat="1" applyFill="1" applyAlignment="1">
      <alignment/>
    </xf>
    <xf numFmtId="0" fontId="93" fillId="41" borderId="16" xfId="0" applyFont="1" applyFill="1" applyBorder="1" applyAlignment="1">
      <alignment/>
    </xf>
    <xf numFmtId="0" fontId="71" fillId="41" borderId="0" xfId="0" applyFont="1" applyFill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91" fillId="41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93" fillId="41" borderId="18" xfId="0" applyFont="1" applyFill="1" applyBorder="1" applyAlignment="1">
      <alignment/>
    </xf>
    <xf numFmtId="0" fontId="91" fillId="0" borderId="10" xfId="0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horizontal="center"/>
    </xf>
    <xf numFmtId="12" fontId="91" fillId="0" borderId="10" xfId="0" applyNumberFormat="1" applyFont="1" applyBorder="1" applyAlignment="1">
      <alignment horizontal="center"/>
    </xf>
    <xf numFmtId="0" fontId="91" fillId="0" borderId="19" xfId="0" applyFont="1" applyFill="1" applyBorder="1" applyAlignment="1">
      <alignment horizontal="center" vertical="top" wrapText="1"/>
    </xf>
    <xf numFmtId="0" fontId="91" fillId="0" borderId="19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88" fillId="41" borderId="0" xfId="0" applyFont="1" applyFill="1" applyBorder="1" applyAlignment="1">
      <alignment horizontal="center" vertical="center" wrapText="1"/>
    </xf>
    <xf numFmtId="173" fontId="91" fillId="41" borderId="10" xfId="0" applyNumberFormat="1" applyFont="1" applyFill="1" applyBorder="1" applyAlignment="1">
      <alignment horizontal="center"/>
    </xf>
    <xf numFmtId="0" fontId="93" fillId="41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5" fontId="84" fillId="41" borderId="0" xfId="0" applyNumberFormat="1" applyFont="1" applyFill="1" applyBorder="1" applyAlignment="1">
      <alignment horizontal="center" vertical="center"/>
    </xf>
    <xf numFmtId="176" fontId="84" fillId="41" borderId="10" xfId="0" applyNumberFormat="1" applyFont="1" applyFill="1" applyBorder="1" applyAlignment="1">
      <alignment horizontal="center" vertical="center"/>
    </xf>
    <xf numFmtId="0" fontId="93" fillId="41" borderId="20" xfId="0" applyFont="1" applyFill="1" applyBorder="1" applyAlignment="1">
      <alignment/>
    </xf>
    <xf numFmtId="0" fontId="93" fillId="41" borderId="21" xfId="0" applyFont="1" applyFill="1" applyBorder="1" applyAlignment="1">
      <alignment/>
    </xf>
    <xf numFmtId="0" fontId="93" fillId="41" borderId="22" xfId="0" applyFont="1" applyFill="1" applyBorder="1" applyAlignment="1">
      <alignment/>
    </xf>
    <xf numFmtId="0" fontId="0" fillId="41" borderId="0" xfId="0" applyFill="1" applyBorder="1" applyAlignment="1">
      <alignment/>
    </xf>
    <xf numFmtId="0" fontId="93" fillId="41" borderId="23" xfId="0" applyFont="1" applyFill="1" applyBorder="1" applyAlignment="1">
      <alignment/>
    </xf>
    <xf numFmtId="0" fontId="0" fillId="10" borderId="0" xfId="0" applyFill="1" applyAlignment="1">
      <alignment/>
    </xf>
    <xf numFmtId="0" fontId="89" fillId="41" borderId="16" xfId="0" applyFont="1" applyFill="1" applyBorder="1" applyAlignment="1">
      <alignment horizontal="center"/>
    </xf>
    <xf numFmtId="0" fontId="89" fillId="41" borderId="10" xfId="0" applyFont="1" applyFill="1" applyBorder="1" applyAlignment="1">
      <alignment horizontal="center"/>
    </xf>
    <xf numFmtId="1" fontId="89" fillId="41" borderId="10" xfId="0" applyNumberFormat="1" applyFont="1" applyFill="1" applyBorder="1" applyAlignment="1">
      <alignment horizontal="center"/>
    </xf>
    <xf numFmtId="1" fontId="97" fillId="41" borderId="10" xfId="0" applyNumberFormat="1" applyFont="1" applyFill="1" applyBorder="1" applyAlignment="1">
      <alignment horizontal="center"/>
    </xf>
    <xf numFmtId="2" fontId="97" fillId="41" borderId="10" xfId="0" applyNumberFormat="1" applyFont="1" applyFill="1" applyBorder="1" applyAlignment="1">
      <alignment horizontal="center"/>
    </xf>
    <xf numFmtId="2" fontId="89" fillId="41" borderId="16" xfId="0" applyNumberFormat="1" applyFont="1" applyFill="1" applyBorder="1" applyAlignment="1">
      <alignment horizontal="center"/>
    </xf>
    <xf numFmtId="2" fontId="89" fillId="41" borderId="10" xfId="0" applyNumberFormat="1" applyFont="1" applyFill="1" applyBorder="1" applyAlignment="1">
      <alignment horizontal="center"/>
    </xf>
    <xf numFmtId="0" fontId="98" fillId="41" borderId="0" xfId="0" applyFont="1" applyFill="1" applyAlignment="1">
      <alignment/>
    </xf>
    <xf numFmtId="0" fontId="98" fillId="0" borderId="0" xfId="0" applyFont="1" applyFill="1" applyAlignment="1">
      <alignment/>
    </xf>
    <xf numFmtId="0" fontId="91" fillId="43" borderId="0" xfId="0" applyFont="1" applyFill="1" applyAlignment="1">
      <alignment/>
    </xf>
    <xf numFmtId="0" fontId="93" fillId="43" borderId="0" xfId="0" applyFont="1" applyFill="1" applyAlignment="1">
      <alignment horizontal="center" wrapText="1"/>
    </xf>
    <xf numFmtId="0" fontId="99" fillId="43" borderId="0" xfId="0" applyFont="1" applyFill="1" applyAlignment="1">
      <alignment horizontal="left" wrapText="1"/>
    </xf>
    <xf numFmtId="0" fontId="100" fillId="43" borderId="24" xfId="0" applyFont="1" applyFill="1" applyBorder="1" applyAlignment="1">
      <alignment/>
    </xf>
    <xf numFmtId="0" fontId="100" fillId="43" borderId="25" xfId="0" applyFont="1" applyFill="1" applyBorder="1" applyAlignment="1">
      <alignment horizontal="center" wrapText="1"/>
    </xf>
    <xf numFmtId="0" fontId="101" fillId="43" borderId="26" xfId="0" applyFont="1" applyFill="1" applyBorder="1" applyAlignment="1">
      <alignment/>
    </xf>
    <xf numFmtId="0" fontId="93" fillId="43" borderId="22" xfId="0" applyFont="1" applyFill="1" applyBorder="1" applyAlignment="1">
      <alignment horizontal="left" wrapText="1"/>
    </xf>
    <xf numFmtId="0" fontId="91" fillId="43" borderId="16" xfId="0" applyFont="1" applyFill="1" applyBorder="1" applyAlignment="1">
      <alignment/>
    </xf>
    <xf numFmtId="0" fontId="93" fillId="43" borderId="16" xfId="0" applyFont="1" applyFill="1" applyBorder="1" applyAlignment="1">
      <alignment horizontal="center"/>
    </xf>
    <xf numFmtId="0" fontId="93" fillId="43" borderId="16" xfId="0" applyFont="1" applyFill="1" applyBorder="1" applyAlignment="1">
      <alignment horizontal="center" wrapText="1"/>
    </xf>
    <xf numFmtId="0" fontId="93" fillId="43" borderId="27" xfId="0" applyFont="1" applyFill="1" applyBorder="1" applyAlignment="1">
      <alignment horizontal="center" wrapText="1"/>
    </xf>
    <xf numFmtId="0" fontId="102" fillId="43" borderId="28" xfId="0" applyFont="1" applyFill="1" applyBorder="1" applyAlignment="1">
      <alignment horizontal="center" wrapText="1"/>
    </xf>
    <xf numFmtId="0" fontId="93" fillId="43" borderId="20" xfId="0" applyFont="1" applyFill="1" applyBorder="1" applyAlignment="1">
      <alignment horizontal="left" wrapText="1"/>
    </xf>
    <xf numFmtId="0" fontId="91" fillId="43" borderId="10" xfId="0" applyFont="1" applyFill="1" applyBorder="1" applyAlignment="1">
      <alignment/>
    </xf>
    <xf numFmtId="0" fontId="93" fillId="43" borderId="10" xfId="0" applyFont="1" applyFill="1" applyBorder="1" applyAlignment="1">
      <alignment horizontal="center"/>
    </xf>
    <xf numFmtId="0" fontId="93" fillId="43" borderId="10" xfId="0" applyFont="1" applyFill="1" applyBorder="1" applyAlignment="1">
      <alignment horizontal="center" wrapText="1"/>
    </xf>
    <xf numFmtId="0" fontId="93" fillId="43" borderId="29" xfId="0" applyFont="1" applyFill="1" applyBorder="1" applyAlignment="1">
      <alignment horizontal="center" wrapText="1"/>
    </xf>
    <xf numFmtId="0" fontId="102" fillId="43" borderId="30" xfId="0" applyFont="1" applyFill="1" applyBorder="1" applyAlignment="1">
      <alignment horizontal="center" wrapText="1"/>
    </xf>
    <xf numFmtId="1" fontId="91" fillId="43" borderId="16" xfId="0" applyNumberFormat="1" applyFont="1" applyFill="1" applyBorder="1" applyAlignment="1">
      <alignment/>
    </xf>
    <xf numFmtId="9" fontId="0" fillId="41" borderId="0" xfId="55" applyFont="1" applyFill="1" applyAlignment="1">
      <alignment/>
    </xf>
    <xf numFmtId="0" fontId="92" fillId="41" borderId="0" xfId="0" applyFont="1" applyFill="1" applyAlignment="1">
      <alignment horizontal="center"/>
    </xf>
    <xf numFmtId="43" fontId="98" fillId="41" borderId="0" xfId="0" applyNumberFormat="1" applyFont="1" applyFill="1" applyAlignment="1">
      <alignment/>
    </xf>
    <xf numFmtId="43" fontId="88" fillId="0" borderId="10" xfId="0" applyNumberFormat="1" applyFont="1" applyFill="1" applyBorder="1" applyAlignment="1">
      <alignment vertical="center"/>
    </xf>
    <xf numFmtId="43" fontId="88" fillId="0" borderId="10" xfId="0" applyNumberFormat="1" applyFont="1" applyFill="1" applyBorder="1" applyAlignment="1">
      <alignment horizontal="left" vertical="center"/>
    </xf>
    <xf numFmtId="0" fontId="97" fillId="41" borderId="10" xfId="0" applyFont="1" applyFill="1" applyBorder="1" applyAlignment="1">
      <alignment/>
    </xf>
    <xf numFmtId="182" fontId="0" fillId="41" borderId="10" xfId="0" applyNumberFormat="1" applyFont="1" applyFill="1" applyBorder="1" applyAlignment="1">
      <alignment/>
    </xf>
    <xf numFmtId="0" fontId="103" fillId="41" borderId="10" xfId="0" applyFont="1" applyFill="1" applyBorder="1" applyAlignment="1">
      <alignment horizontal="center"/>
    </xf>
    <xf numFmtId="1" fontId="0" fillId="41" borderId="10" xfId="0" applyNumberFormat="1" applyFont="1" applyFill="1" applyBorder="1" applyAlignment="1">
      <alignment horizontal="center"/>
    </xf>
    <xf numFmtId="172" fontId="97" fillId="41" borderId="10" xfId="55" applyNumberFormat="1" applyFont="1" applyFill="1" applyBorder="1" applyAlignment="1">
      <alignment horizontal="center"/>
    </xf>
    <xf numFmtId="10" fontId="97" fillId="41" borderId="10" xfId="55" applyNumberFormat="1" applyFont="1" applyFill="1" applyBorder="1" applyAlignment="1">
      <alignment horizontal="center"/>
    </xf>
    <xf numFmtId="0" fontId="103" fillId="41" borderId="10" xfId="0" applyFont="1" applyFill="1" applyBorder="1" applyAlignment="1">
      <alignment horizontal="left"/>
    </xf>
    <xf numFmtId="3" fontId="89" fillId="0" borderId="10" xfId="0" applyNumberFormat="1" applyFont="1" applyBorder="1" applyAlignment="1">
      <alignment horizontal="center"/>
    </xf>
    <xf numFmtId="172" fontId="89" fillId="41" borderId="10" xfId="55" applyNumberFormat="1" applyFont="1" applyFill="1" applyBorder="1" applyAlignment="1">
      <alignment horizontal="right"/>
    </xf>
    <xf numFmtId="2" fontId="91" fillId="44" borderId="31" xfId="0" applyNumberFormat="1" applyFont="1" applyFill="1" applyBorder="1" applyAlignment="1">
      <alignment/>
    </xf>
    <xf numFmtId="0" fontId="93" fillId="45" borderId="32" xfId="0" applyFont="1" applyFill="1" applyBorder="1" applyAlignment="1">
      <alignment horizontal="center"/>
    </xf>
    <xf numFmtId="0" fontId="93" fillId="45" borderId="32" xfId="0" applyFont="1" applyFill="1" applyBorder="1" applyAlignment="1">
      <alignment horizontal="center" wrapText="1"/>
    </xf>
    <xf numFmtId="0" fontId="93" fillId="45" borderId="33" xfId="0" applyFont="1" applyFill="1" applyBorder="1" applyAlignment="1">
      <alignment horizontal="center" wrapText="1"/>
    </xf>
    <xf numFmtId="0" fontId="102" fillId="44" borderId="26" xfId="0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172" fontId="89" fillId="41" borderId="10" xfId="55" applyNumberFormat="1" applyFont="1" applyFill="1" applyBorder="1" applyAlignment="1">
      <alignment horizontal="center"/>
    </xf>
    <xf numFmtId="170" fontId="91" fillId="41" borderId="0" xfId="51" applyFont="1" applyFill="1" applyAlignment="1">
      <alignment/>
    </xf>
    <xf numFmtId="0" fontId="103" fillId="41" borderId="0" xfId="0" applyFont="1" applyFill="1" applyBorder="1" applyAlignment="1">
      <alignment/>
    </xf>
    <xf numFmtId="3" fontId="89" fillId="41" borderId="10" xfId="0" applyNumberFormat="1" applyFont="1" applyFill="1" applyBorder="1" applyAlignment="1">
      <alignment horizontal="center"/>
    </xf>
    <xf numFmtId="0" fontId="102" fillId="41" borderId="10" xfId="0" applyFont="1" applyFill="1" applyBorder="1" applyAlignment="1">
      <alignment horizontal="right"/>
    </xf>
    <xf numFmtId="0" fontId="102" fillId="41" borderId="10" xfId="0" applyFont="1" applyFill="1" applyBorder="1" applyAlignment="1">
      <alignment/>
    </xf>
    <xf numFmtId="3" fontId="89" fillId="0" borderId="16" xfId="0" applyNumberFormat="1" applyFont="1" applyBorder="1" applyAlignment="1">
      <alignment horizontal="center"/>
    </xf>
    <xf numFmtId="3" fontId="89" fillId="41" borderId="16" xfId="0" applyNumberFormat="1" applyFont="1" applyFill="1" applyBorder="1" applyAlignment="1">
      <alignment horizontal="center"/>
    </xf>
    <xf numFmtId="172" fontId="89" fillId="41" borderId="16" xfId="55" applyNumberFormat="1" applyFont="1" applyFill="1" applyBorder="1" applyAlignment="1">
      <alignment horizontal="right"/>
    </xf>
    <xf numFmtId="0" fontId="88" fillId="41" borderId="0" xfId="0" applyFont="1" applyFill="1" applyBorder="1" applyAlignment="1">
      <alignment horizontal="center"/>
    </xf>
    <xf numFmtId="2" fontId="0" fillId="41" borderId="0" xfId="0" applyNumberFormat="1" applyFill="1" applyBorder="1" applyAlignment="1">
      <alignment horizontal="center"/>
    </xf>
    <xf numFmtId="172" fontId="0" fillId="41" borderId="0" xfId="55" applyNumberFormat="1" applyFont="1" applyFill="1" applyBorder="1" applyAlignment="1">
      <alignment horizontal="center"/>
    </xf>
    <xf numFmtId="0" fontId="102" fillId="44" borderId="34" xfId="0" applyFont="1" applyFill="1" applyBorder="1" applyAlignment="1">
      <alignment/>
    </xf>
    <xf numFmtId="0" fontId="93" fillId="46" borderId="16" xfId="0" applyFont="1" applyFill="1" applyBorder="1" applyAlignment="1">
      <alignment horizontal="center"/>
    </xf>
    <xf numFmtId="0" fontId="93" fillId="46" borderId="10" xfId="0" applyFont="1" applyFill="1" applyBorder="1" applyAlignment="1">
      <alignment horizontal="center"/>
    </xf>
    <xf numFmtId="0" fontId="88" fillId="42" borderId="35" xfId="0" applyFont="1" applyFill="1" applyBorder="1" applyAlignment="1">
      <alignment horizontal="center"/>
    </xf>
    <xf numFmtId="0" fontId="93" fillId="42" borderId="36" xfId="0" applyFont="1" applyFill="1" applyBorder="1" applyAlignment="1">
      <alignment horizontal="center" vertical="center" wrapText="1"/>
    </xf>
    <xf numFmtId="0" fontId="93" fillId="42" borderId="37" xfId="0" applyFont="1" applyFill="1" applyBorder="1" applyAlignment="1">
      <alignment horizontal="center" vertical="center" wrapText="1"/>
    </xf>
    <xf numFmtId="0" fontId="93" fillId="42" borderId="12" xfId="0" applyFont="1" applyFill="1" applyBorder="1" applyAlignment="1">
      <alignment horizontal="center" vertical="center" wrapText="1"/>
    </xf>
    <xf numFmtId="0" fontId="93" fillId="42" borderId="38" xfId="0" applyFont="1" applyFill="1" applyBorder="1" applyAlignment="1">
      <alignment horizontal="center" vertical="center" wrapText="1"/>
    </xf>
    <xf numFmtId="0" fontId="93" fillId="42" borderId="10" xfId="0" applyFont="1" applyFill="1" applyBorder="1" applyAlignment="1">
      <alignment horizontal="center"/>
    </xf>
    <xf numFmtId="0" fontId="103" fillId="42" borderId="11" xfId="0" applyFont="1" applyFill="1" applyBorder="1" applyAlignment="1">
      <alignment horizontal="center" vertical="center" wrapText="1"/>
    </xf>
    <xf numFmtId="0" fontId="104" fillId="42" borderId="39" xfId="0" applyFont="1" applyFill="1" applyBorder="1" applyAlignment="1">
      <alignment horizontal="center" vertical="center" wrapText="1"/>
    </xf>
    <xf numFmtId="0" fontId="104" fillId="42" borderId="19" xfId="0" applyFont="1" applyFill="1" applyBorder="1" applyAlignment="1">
      <alignment horizontal="center" vertical="center" wrapText="1"/>
    </xf>
    <xf numFmtId="0" fontId="104" fillId="42" borderId="40" xfId="0" applyFont="1" applyFill="1" applyBorder="1" applyAlignment="1">
      <alignment horizontal="center" vertical="center" wrapText="1"/>
    </xf>
    <xf numFmtId="0" fontId="103" fillId="42" borderId="35" xfId="0" applyFont="1" applyFill="1" applyBorder="1" applyAlignment="1">
      <alignment horizontal="center"/>
    </xf>
    <xf numFmtId="0" fontId="102" fillId="42" borderId="41" xfId="0" applyFont="1" applyFill="1" applyBorder="1" applyAlignment="1">
      <alignment horizontal="center" vertical="center" wrapText="1"/>
    </xf>
    <xf numFmtId="0" fontId="102" fillId="42" borderId="21" xfId="0" applyFont="1" applyFill="1" applyBorder="1" applyAlignment="1">
      <alignment horizontal="center" vertical="center" wrapText="1"/>
    </xf>
    <xf numFmtId="0" fontId="102" fillId="42" borderId="42" xfId="0" applyFont="1" applyFill="1" applyBorder="1" applyAlignment="1">
      <alignment horizontal="center" vertical="center" wrapText="1"/>
    </xf>
    <xf numFmtId="0" fontId="102" fillId="42" borderId="43" xfId="0" applyFont="1" applyFill="1" applyBorder="1" applyAlignment="1">
      <alignment horizontal="center" vertical="center" wrapText="1"/>
    </xf>
    <xf numFmtId="0" fontId="102" fillId="42" borderId="18" xfId="0" applyFont="1" applyFill="1" applyBorder="1" applyAlignment="1">
      <alignment horizontal="center" vertical="center" wrapText="1"/>
    </xf>
    <xf numFmtId="0" fontId="102" fillId="42" borderId="44" xfId="0" applyFont="1" applyFill="1" applyBorder="1" applyAlignment="1">
      <alignment horizontal="center" vertical="center" wrapText="1"/>
    </xf>
    <xf numFmtId="0" fontId="102" fillId="5" borderId="45" xfId="0" applyFont="1" applyFill="1" applyBorder="1" applyAlignment="1">
      <alignment horizontal="center"/>
    </xf>
    <xf numFmtId="0" fontId="102" fillId="5" borderId="46" xfId="0" applyFont="1" applyFill="1" applyBorder="1" applyAlignment="1">
      <alignment horizontal="center"/>
    </xf>
    <xf numFmtId="0" fontId="91" fillId="47" borderId="10" xfId="0" applyFont="1" applyFill="1" applyBorder="1" applyAlignment="1">
      <alignment horizontal="center" wrapText="1"/>
    </xf>
    <xf numFmtId="0" fontId="93" fillId="47" borderId="10" xfId="0" applyFont="1" applyFill="1" applyBorder="1" applyAlignment="1">
      <alignment horizontal="center" wrapText="1"/>
    </xf>
    <xf numFmtId="0" fontId="102" fillId="47" borderId="10" xfId="0" applyFont="1" applyFill="1" applyBorder="1" applyAlignment="1">
      <alignment horizontal="center" wrapText="1"/>
    </xf>
    <xf numFmtId="0" fontId="88" fillId="41" borderId="0" xfId="0" applyFont="1" applyFill="1" applyBorder="1" applyAlignment="1">
      <alignment/>
    </xf>
    <xf numFmtId="10" fontId="0" fillId="41" borderId="0" xfId="55" applyNumberFormat="1" applyFont="1" applyFill="1" applyBorder="1" applyAlignment="1">
      <alignment horizontal="center"/>
    </xf>
    <xf numFmtId="0" fontId="105" fillId="42" borderId="10" xfId="0" applyFont="1" applyFill="1" applyBorder="1" applyAlignment="1">
      <alignment horizontal="center" vertical="center"/>
    </xf>
    <xf numFmtId="0" fontId="88" fillId="4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82" fontId="88" fillId="41" borderId="10" xfId="0" applyNumberFormat="1" applyFont="1" applyFill="1" applyBorder="1" applyAlignment="1">
      <alignment/>
    </xf>
    <xf numFmtId="0" fontId="88" fillId="41" borderId="10" xfId="0" applyFont="1" applyFill="1" applyBorder="1" applyAlignment="1">
      <alignment horizontal="center"/>
    </xf>
    <xf numFmtId="1" fontId="88" fillId="41" borderId="10" xfId="0" applyNumberFormat="1" applyFont="1" applyFill="1" applyBorder="1" applyAlignment="1">
      <alignment horizontal="center"/>
    </xf>
    <xf numFmtId="176" fontId="102" fillId="41" borderId="10" xfId="0" applyNumberFormat="1" applyFont="1" applyFill="1" applyBorder="1" applyAlignment="1">
      <alignment/>
    </xf>
    <xf numFmtId="182" fontId="102" fillId="41" borderId="10" xfId="0" applyNumberFormat="1" applyFont="1" applyFill="1" applyBorder="1" applyAlignment="1">
      <alignment/>
    </xf>
    <xf numFmtId="0" fontId="3" fillId="37" borderId="4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Alignment="1">
      <alignment/>
    </xf>
    <xf numFmtId="176" fontId="90" fillId="0" borderId="10" xfId="0" applyNumberFormat="1" applyFont="1" applyFill="1" applyBorder="1" applyAlignment="1">
      <alignment horizontal="center" vertical="center"/>
    </xf>
    <xf numFmtId="176" fontId="106" fillId="48" borderId="10" xfId="55" applyNumberFormat="1" applyFont="1" applyFill="1" applyBorder="1" applyAlignment="1">
      <alignment horizontal="center" vertical="center"/>
    </xf>
    <xf numFmtId="176" fontId="106" fillId="49" borderId="10" xfId="55" applyNumberFormat="1" applyFont="1" applyFill="1" applyBorder="1" applyAlignment="1">
      <alignment horizontal="center" vertical="center"/>
    </xf>
    <xf numFmtId="2" fontId="107" fillId="34" borderId="16" xfId="0" applyNumberFormat="1" applyFont="1" applyFill="1" applyBorder="1" applyAlignment="1">
      <alignment horizontal="center" vertical="center" wrapText="1"/>
    </xf>
    <xf numFmtId="2" fontId="107" fillId="35" borderId="10" xfId="0" applyNumberFormat="1" applyFont="1" applyFill="1" applyBorder="1" applyAlignment="1">
      <alignment horizontal="center" vertical="center" wrapText="1"/>
    </xf>
    <xf numFmtId="2" fontId="107" fillId="36" borderId="10" xfId="0" applyNumberFormat="1" applyFont="1" applyFill="1" applyBorder="1" applyAlignment="1">
      <alignment horizontal="center" vertical="center" wrapText="1"/>
    </xf>
    <xf numFmtId="2" fontId="25" fillId="35" borderId="10" xfId="0" applyNumberFormat="1" applyFont="1" applyFill="1" applyBorder="1" applyAlignment="1">
      <alignment horizontal="center" vertical="center" wrapText="1"/>
    </xf>
    <xf numFmtId="2" fontId="27" fillId="35" borderId="10" xfId="0" applyNumberFormat="1" applyFont="1" applyFill="1" applyBorder="1" applyAlignment="1">
      <alignment horizontal="center" vertical="center" wrapText="1"/>
    </xf>
    <xf numFmtId="2" fontId="27" fillId="50" borderId="10" xfId="0" applyNumberFormat="1" applyFont="1" applyFill="1" applyBorder="1" applyAlignment="1">
      <alignment horizontal="center" vertical="center" wrapText="1"/>
    </xf>
    <xf numFmtId="2" fontId="25" fillId="34" borderId="16" xfId="0" applyNumberFormat="1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center" vertical="center" wrapText="1"/>
    </xf>
    <xf numFmtId="2" fontId="27" fillId="51" borderId="10" xfId="0" applyNumberFormat="1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6" fontId="98" fillId="48" borderId="10" xfId="0" applyNumberFormat="1" applyFont="1" applyFill="1" applyBorder="1" applyAlignment="1">
      <alignment horizontal="center"/>
    </xf>
    <xf numFmtId="176" fontId="98" fillId="49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176" fontId="27" fillId="35" borderId="10" xfId="0" applyNumberFormat="1" applyFont="1" applyFill="1" applyBorder="1" applyAlignment="1">
      <alignment horizontal="center" vertical="center" wrapText="1"/>
    </xf>
    <xf numFmtId="176" fontId="27" fillId="50" borderId="10" xfId="0" applyNumberFormat="1" applyFont="1" applyFill="1" applyBorder="1" applyAlignment="1">
      <alignment horizontal="center" vertical="center" wrapText="1"/>
    </xf>
    <xf numFmtId="43" fontId="0" fillId="41" borderId="0" xfId="0" applyNumberFormat="1" applyFill="1" applyAlignment="1">
      <alignment/>
    </xf>
    <xf numFmtId="1" fontId="0" fillId="41" borderId="0" xfId="0" applyNumberFormat="1" applyFill="1" applyAlignment="1">
      <alignment/>
    </xf>
    <xf numFmtId="0" fontId="88" fillId="41" borderId="0" xfId="0" applyFont="1" applyFill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Alignment="1">
      <alignment/>
    </xf>
    <xf numFmtId="0" fontId="102" fillId="41" borderId="10" xfId="0" applyFont="1" applyFill="1" applyBorder="1" applyAlignment="1">
      <alignment horizontal="center" vertical="center"/>
    </xf>
    <xf numFmtId="0" fontId="102" fillId="41" borderId="10" xfId="0" applyFont="1" applyFill="1" applyBorder="1" applyAlignment="1">
      <alignment vertical="center"/>
    </xf>
    <xf numFmtId="9" fontId="108" fillId="41" borderId="10" xfId="0" applyNumberFormat="1" applyFont="1" applyFill="1" applyBorder="1" applyAlignment="1">
      <alignment horizontal="justify" vertical="center" wrapText="1"/>
    </xf>
    <xf numFmtId="176" fontId="102" fillId="41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9" fontId="13" fillId="34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9" fontId="13" fillId="35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9" fontId="13" fillId="36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" fillId="52" borderId="48" xfId="0" applyFont="1" applyFill="1" applyBorder="1" applyAlignment="1">
      <alignment horizontal="center" vertical="center" wrapText="1"/>
    </xf>
    <xf numFmtId="2" fontId="107" fillId="34" borderId="49" xfId="0" applyNumberFormat="1" applyFont="1" applyFill="1" applyBorder="1" applyAlignment="1">
      <alignment horizontal="center" vertical="center" wrapText="1"/>
    </xf>
    <xf numFmtId="0" fontId="4" fillId="52" borderId="50" xfId="0" applyFont="1" applyFill="1" applyBorder="1" applyAlignment="1">
      <alignment horizontal="center" vertical="center" wrapText="1"/>
    </xf>
    <xf numFmtId="0" fontId="4" fillId="52" borderId="51" xfId="0" applyFont="1" applyFill="1" applyBorder="1" applyAlignment="1">
      <alignment horizontal="center" vertical="center" wrapText="1"/>
    </xf>
    <xf numFmtId="2" fontId="25" fillId="34" borderId="49" xfId="0" applyNumberFormat="1" applyFont="1" applyFill="1" applyBorder="1" applyAlignment="1">
      <alignment horizontal="center" vertical="center" wrapText="1"/>
    </xf>
    <xf numFmtId="0" fontId="4" fillId="52" borderId="52" xfId="0" applyFont="1" applyFill="1" applyBorder="1" applyAlignment="1">
      <alignment horizontal="center" vertical="center" wrapText="1"/>
    </xf>
    <xf numFmtId="176" fontId="27" fillId="53" borderId="16" xfId="0" applyNumberFormat="1" applyFont="1" applyFill="1" applyBorder="1" applyAlignment="1">
      <alignment horizontal="center" vertical="center" wrapText="1"/>
    </xf>
    <xf numFmtId="0" fontId="88" fillId="11" borderId="10" xfId="0" applyFont="1" applyFill="1" applyBorder="1" applyAlignment="1">
      <alignment horizontal="center" vertical="center"/>
    </xf>
    <xf numFmtId="0" fontId="88" fillId="41" borderId="0" xfId="0" applyFont="1" applyFill="1" applyAlignment="1">
      <alignment horizontal="center"/>
    </xf>
    <xf numFmtId="0" fontId="88" fillId="41" borderId="0" xfId="0" applyFont="1" applyFill="1" applyBorder="1" applyAlignment="1">
      <alignment/>
    </xf>
    <xf numFmtId="0" fontId="0" fillId="41" borderId="0" xfId="0" applyFill="1" applyAlignment="1">
      <alignment horizontal="left"/>
    </xf>
    <xf numFmtId="43" fontId="88" fillId="41" borderId="0" xfId="0" applyNumberFormat="1" applyFont="1" applyFill="1" applyAlignment="1">
      <alignment/>
    </xf>
    <xf numFmtId="0" fontId="88" fillId="42" borderId="0" xfId="0" applyFont="1" applyFill="1" applyBorder="1" applyAlignment="1">
      <alignment horizontal="center" vertical="center" wrapText="1"/>
    </xf>
    <xf numFmtId="0" fontId="104" fillId="42" borderId="19" xfId="0" applyFont="1" applyFill="1" applyBorder="1" applyAlignment="1">
      <alignment horizontal="center"/>
    </xf>
    <xf numFmtId="9" fontId="0" fillId="41" borderId="16" xfId="55" applyFont="1" applyFill="1" applyBorder="1" applyAlignment="1">
      <alignment/>
    </xf>
    <xf numFmtId="171" fontId="26" fillId="34" borderId="10" xfId="49" applyNumberFormat="1" applyFont="1" applyFill="1" applyBorder="1" applyAlignment="1">
      <alignment vertical="center"/>
    </xf>
    <xf numFmtId="171" fontId="26" fillId="35" borderId="10" xfId="49" applyNumberFormat="1" applyFont="1" applyFill="1" applyBorder="1" applyAlignment="1">
      <alignment vertical="center"/>
    </xf>
    <xf numFmtId="171" fontId="26" fillId="36" borderId="10" xfId="49" applyNumberFormat="1" applyFont="1" applyFill="1" applyBorder="1" applyAlignment="1">
      <alignment vertical="center"/>
    </xf>
    <xf numFmtId="0" fontId="89" fillId="54" borderId="10" xfId="0" applyFont="1" applyFill="1" applyBorder="1" applyAlignment="1">
      <alignment horizontal="center"/>
    </xf>
    <xf numFmtId="3" fontId="89" fillId="54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2" fontId="90" fillId="50" borderId="10" xfId="0" applyNumberFormat="1" applyFont="1" applyFill="1" applyBorder="1" applyAlignment="1">
      <alignment horizontal="center" vertical="center"/>
    </xf>
    <xf numFmtId="2" fontId="27" fillId="53" borderId="16" xfId="0" applyNumberFormat="1" applyFont="1" applyFill="1" applyBorder="1" applyAlignment="1">
      <alignment horizontal="center" vertical="center" wrapText="1"/>
    </xf>
    <xf numFmtId="0" fontId="0" fillId="41" borderId="53" xfId="0" applyFill="1" applyBorder="1" applyAlignment="1">
      <alignment horizontal="center"/>
    </xf>
    <xf numFmtId="0" fontId="104" fillId="42" borderId="35" xfId="0" applyFont="1" applyFill="1" applyBorder="1" applyAlignment="1">
      <alignment horizontal="center"/>
    </xf>
    <xf numFmtId="0" fontId="104" fillId="42" borderId="54" xfId="0" applyFont="1" applyFill="1" applyBorder="1" applyAlignment="1">
      <alignment horizontal="center"/>
    </xf>
    <xf numFmtId="0" fontId="104" fillId="42" borderId="55" xfId="0" applyFont="1" applyFill="1" applyBorder="1" applyAlignment="1">
      <alignment horizontal="center"/>
    </xf>
    <xf numFmtId="0" fontId="93" fillId="38" borderId="10" xfId="0" applyFont="1" applyFill="1" applyBorder="1" applyAlignment="1">
      <alignment horizontal="center"/>
    </xf>
    <xf numFmtId="0" fontId="103" fillId="11" borderId="10" xfId="0" applyFon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10" fontId="0" fillId="41" borderId="10" xfId="55" applyNumberFormat="1" applyFont="1" applyFill="1" applyBorder="1" applyAlignment="1">
      <alignment horizontal="center"/>
    </xf>
    <xf numFmtId="0" fontId="88" fillId="42" borderId="10" xfId="0" applyFont="1" applyFill="1" applyBorder="1" applyAlignment="1">
      <alignment horizontal="center"/>
    </xf>
    <xf numFmtId="2" fontId="0" fillId="41" borderId="29" xfId="0" applyNumberFormat="1" applyFill="1" applyBorder="1" applyAlignment="1">
      <alignment horizontal="center"/>
    </xf>
    <xf numFmtId="2" fontId="0" fillId="41" borderId="20" xfId="0" applyNumberFormat="1" applyFill="1" applyBorder="1" applyAlignment="1">
      <alignment horizontal="center"/>
    </xf>
    <xf numFmtId="10" fontId="0" fillId="41" borderId="29" xfId="55" applyNumberFormat="1" applyFont="1" applyFill="1" applyBorder="1" applyAlignment="1">
      <alignment horizontal="center"/>
    </xf>
    <xf numFmtId="10" fontId="0" fillId="41" borderId="20" xfId="55" applyNumberFormat="1" applyFont="1" applyFill="1" applyBorder="1" applyAlignment="1">
      <alignment horizontal="center"/>
    </xf>
    <xf numFmtId="176" fontId="84" fillId="41" borderId="10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109" fillId="17" borderId="50" xfId="0" applyFont="1" applyFill="1" applyBorder="1" applyAlignment="1">
      <alignment vertical="center" wrapText="1"/>
    </xf>
    <xf numFmtId="0" fontId="109" fillId="17" borderId="0" xfId="0" applyFont="1" applyFill="1" applyBorder="1" applyAlignment="1">
      <alignment vertical="center" wrapText="1"/>
    </xf>
    <xf numFmtId="0" fontId="109" fillId="5" borderId="33" xfId="0" applyFont="1" applyFill="1" applyBorder="1" applyAlignment="1">
      <alignment horizontal="center"/>
    </xf>
    <xf numFmtId="0" fontId="109" fillId="5" borderId="54" xfId="0" applyFont="1" applyFill="1" applyBorder="1" applyAlignment="1">
      <alignment horizontal="center"/>
    </xf>
    <xf numFmtId="0" fontId="110" fillId="43" borderId="0" xfId="0" applyFont="1" applyFill="1" applyAlignment="1">
      <alignment horizontal="left" wrapText="1"/>
    </xf>
    <xf numFmtId="0" fontId="100" fillId="43" borderId="56" xfId="0" applyFont="1" applyFill="1" applyBorder="1" applyAlignment="1">
      <alignment horizontal="center" wrapText="1"/>
    </xf>
    <xf numFmtId="0" fontId="100" fillId="43" borderId="57" xfId="0" applyFont="1" applyFill="1" applyBorder="1" applyAlignment="1">
      <alignment horizontal="center" wrapText="1"/>
    </xf>
    <xf numFmtId="2" fontId="97" fillId="41" borderId="10" xfId="0" applyNumberFormat="1" applyFont="1" applyFill="1" applyBorder="1" applyAlignment="1">
      <alignment horizontal="center"/>
    </xf>
    <xf numFmtId="10" fontId="97" fillId="41" borderId="10" xfId="55" applyNumberFormat="1" applyFont="1" applyFill="1" applyBorder="1" applyAlignment="1">
      <alignment horizontal="center"/>
    </xf>
    <xf numFmtId="0" fontId="109" fillId="11" borderId="10" xfId="0" applyFont="1" applyFill="1" applyBorder="1" applyAlignment="1">
      <alignment horizontal="center"/>
    </xf>
    <xf numFmtId="0" fontId="103" fillId="42" borderId="58" xfId="0" applyFont="1" applyFill="1" applyBorder="1" applyAlignment="1">
      <alignment horizontal="center"/>
    </xf>
    <xf numFmtId="0" fontId="103" fillId="42" borderId="32" xfId="0" applyFont="1" applyFill="1" applyBorder="1" applyAlignment="1">
      <alignment horizontal="center"/>
    </xf>
    <xf numFmtId="0" fontId="103" fillId="42" borderId="59" xfId="0" applyFont="1" applyFill="1" applyBorder="1" applyAlignment="1">
      <alignment horizontal="center"/>
    </xf>
    <xf numFmtId="0" fontId="102" fillId="5" borderId="22" xfId="0" applyFont="1" applyFill="1" applyBorder="1" applyAlignment="1">
      <alignment horizontal="center"/>
    </xf>
    <xf numFmtId="0" fontId="102" fillId="5" borderId="16" xfId="0" applyFont="1" applyFill="1" applyBorder="1" applyAlignment="1">
      <alignment horizontal="center"/>
    </xf>
    <xf numFmtId="0" fontId="102" fillId="5" borderId="27" xfId="0" applyFont="1" applyFill="1" applyBorder="1" applyAlignment="1">
      <alignment horizontal="center"/>
    </xf>
    <xf numFmtId="0" fontId="102" fillId="5" borderId="14" xfId="0" applyFont="1" applyFill="1" applyBorder="1" applyAlignment="1">
      <alignment horizontal="center"/>
    </xf>
    <xf numFmtId="0" fontId="102" fillId="5" borderId="60" xfId="0" applyFont="1" applyFill="1" applyBorder="1" applyAlignment="1">
      <alignment horizontal="center"/>
    </xf>
    <xf numFmtId="0" fontId="88" fillId="41" borderId="0" xfId="0" applyFont="1" applyFill="1" applyBorder="1" applyAlignment="1">
      <alignment horizontal="center"/>
    </xf>
    <xf numFmtId="0" fontId="93" fillId="47" borderId="10" xfId="0" applyFont="1" applyFill="1" applyBorder="1" applyAlignment="1">
      <alignment horizontal="center" wrapText="1"/>
    </xf>
    <xf numFmtId="2" fontId="89" fillId="41" borderId="10" xfId="0" applyNumberFormat="1" applyFont="1" applyFill="1" applyBorder="1" applyAlignment="1">
      <alignment horizontal="center"/>
    </xf>
    <xf numFmtId="172" fontId="0" fillId="41" borderId="10" xfId="55" applyNumberFormat="1" applyFont="1" applyFill="1" applyBorder="1" applyAlignment="1">
      <alignment horizontal="center"/>
    </xf>
    <xf numFmtId="10" fontId="89" fillId="41" borderId="10" xfId="55" applyNumberFormat="1" applyFont="1" applyFill="1" applyBorder="1" applyAlignment="1">
      <alignment horizontal="center"/>
    </xf>
    <xf numFmtId="0" fontId="102" fillId="55" borderId="10" xfId="0" applyFont="1" applyFill="1" applyBorder="1" applyAlignment="1">
      <alignment horizontal="center"/>
    </xf>
    <xf numFmtId="0" fontId="4" fillId="37" borderId="6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0" fillId="37" borderId="64" xfId="0" applyFont="1" applyFill="1" applyBorder="1" applyAlignment="1">
      <alignment horizontal="center" vertical="center" wrapText="1"/>
    </xf>
    <xf numFmtId="0" fontId="30" fillId="37" borderId="65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 wrapText="1"/>
    </xf>
    <xf numFmtId="0" fontId="29" fillId="37" borderId="67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111" fillId="33" borderId="0" xfId="0" applyFont="1" applyFill="1" applyAlignment="1">
      <alignment horizontal="center"/>
    </xf>
    <xf numFmtId="0" fontId="31" fillId="56" borderId="0" xfId="0" applyFont="1" applyFill="1" applyAlignment="1">
      <alignment horizontal="center"/>
    </xf>
    <xf numFmtId="0" fontId="3" fillId="37" borderId="68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/>
    </xf>
    <xf numFmtId="0" fontId="88" fillId="38" borderId="1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2" fillId="41" borderId="0" xfId="0" applyFont="1" applyFill="1" applyBorder="1" applyAlignment="1">
      <alignment horizontal="center" wrapText="1"/>
    </xf>
    <xf numFmtId="0" fontId="113" fillId="52" borderId="0" xfId="0" applyFont="1" applyFill="1" applyAlignment="1">
      <alignment horizontal="center"/>
    </xf>
    <xf numFmtId="0" fontId="97" fillId="38" borderId="10" xfId="0" applyFont="1" applyFill="1" applyBorder="1" applyAlignment="1">
      <alignment horizontal="center" vertical="center" wrapText="1"/>
    </xf>
    <xf numFmtId="0" fontId="97" fillId="38" borderId="10" xfId="0" applyFont="1" applyFill="1" applyBorder="1" applyAlignment="1">
      <alignment horizontal="center" vertical="center"/>
    </xf>
    <xf numFmtId="0" fontId="91" fillId="38" borderId="10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/>
    </xf>
    <xf numFmtId="0" fontId="88" fillId="0" borderId="53" xfId="0" applyFont="1" applyBorder="1" applyAlignment="1">
      <alignment horizontal="left" vertical="center"/>
    </xf>
    <xf numFmtId="0" fontId="102" fillId="41" borderId="10" xfId="0" applyFont="1" applyFill="1" applyBorder="1" applyAlignment="1">
      <alignment horizontal="left" vertical="center"/>
    </xf>
    <xf numFmtId="0" fontId="102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horizontal="left"/>
    </xf>
    <xf numFmtId="0" fontId="102" fillId="41" borderId="10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left" vertical="center"/>
    </xf>
    <xf numFmtId="0" fontId="0" fillId="41" borderId="0" xfId="0" applyFill="1" applyAlignment="1">
      <alignment horizontal="center"/>
    </xf>
    <xf numFmtId="0" fontId="90" fillId="57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 wrapText="1"/>
    </xf>
    <xf numFmtId="0" fontId="90" fillId="16" borderId="10" xfId="0" applyFont="1" applyFill="1" applyBorder="1" applyAlignment="1">
      <alignment horizontal="left" vertical="center"/>
    </xf>
    <xf numFmtId="0" fontId="90" fillId="19" borderId="10" xfId="0" applyFont="1" applyFill="1" applyBorder="1" applyAlignment="1">
      <alignment horizontal="left" vertical="center"/>
    </xf>
    <xf numFmtId="0" fontId="0" fillId="41" borderId="7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AGUA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9"/>
          <c:w val="0.958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'GRAFICOS COMPARATIVOS POR AÑO'!$Q$3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AÑO'!$R$2:$V$2</c:f>
              <c:strCache/>
            </c:strRef>
          </c:cat>
          <c:val>
            <c:numRef>
              <c:f>'GRAFICOS COMPARATIVOS POR AÑO'!$R$3:$V$3</c:f>
              <c:numCache/>
            </c:numRef>
          </c:val>
          <c:smooth val="0"/>
        </c:ser>
        <c:ser>
          <c:idx val="1"/>
          <c:order val="1"/>
          <c:tx>
            <c:strRef>
              <c:f>'GRAFICOS COMPARATIVOS POR AÑO'!$Q$4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AÑO'!$R$2:$V$2</c:f>
              <c:strCache/>
            </c:strRef>
          </c:cat>
          <c:val>
            <c:numRef>
              <c:f>'GRAFICOS COMPARATIVOS POR AÑO'!$R$4:$V$4</c:f>
              <c:numCache/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RSU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0075"/>
          <c:w val="0.958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'GRAFICOS COMPARATIVOS POR AÑO'!$Q$7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AÑO'!$R$6:$V$6</c:f>
              <c:strCache/>
            </c:strRef>
          </c:cat>
          <c:val>
            <c:numRef>
              <c:f>'GRAFICOS COMPARATIVOS POR AÑO'!$R$7:$V$7</c:f>
              <c:numCache/>
            </c:numRef>
          </c:val>
          <c:smooth val="0"/>
        </c:ser>
        <c:ser>
          <c:idx val="1"/>
          <c:order val="1"/>
          <c:tx>
            <c:strRef>
              <c:f>'GRAFICOS COMPARATIVOS POR AÑO'!$Q$8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AÑO'!$R$6:$V$6</c:f>
              <c:strCache/>
            </c:strRef>
          </c:cat>
          <c:val>
            <c:numRef>
              <c:f>'GRAFICOS COMPARATIVOS POR AÑO'!$R$8:$V$8</c:f>
              <c:numCache/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775"/>
          <c:w val="0.958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'GRAFICOS COMPARATIVOS POR AÑO'!$Q$11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AÑO'!$R$10:$V$10</c:f>
              <c:strCache/>
            </c:strRef>
          </c:cat>
          <c:val>
            <c:numRef>
              <c:f>'GRAFICOS COMPARATIVOS POR AÑO'!$R$11:$V$11</c:f>
              <c:numCache/>
            </c:numRef>
          </c:val>
          <c:smooth val="0"/>
        </c:ser>
        <c:ser>
          <c:idx val="1"/>
          <c:order val="1"/>
          <c:tx>
            <c:strRef>
              <c:f>'GRAFICOS COMPARATIVOS POR AÑO'!$Q$12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AÑO'!$R$10:$V$10</c:f>
              <c:strCache/>
            </c:strRef>
          </c:cat>
          <c:val>
            <c:numRef>
              <c:f>'GRAFICOS COMPARATIVOS POR AÑO'!$R$12:$V$12</c:f>
              <c:numCache/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ENERGÍA ELÉCTRICA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225"/>
          <c:w val="0.9572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'GRAFICOS COMPARATIVOS POR AÑO'!$Q$15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AÑO'!$R$14:$V$14</c:f>
              <c:strCache/>
            </c:strRef>
          </c:cat>
          <c:val>
            <c:numRef>
              <c:f>'GRAFICOS COMPARATIVOS POR AÑO'!$R$15:$V$15</c:f>
              <c:numCache/>
            </c:numRef>
          </c:val>
          <c:smooth val="0"/>
        </c:ser>
        <c:ser>
          <c:idx val="1"/>
          <c:order val="1"/>
          <c:tx>
            <c:strRef>
              <c:f>'GRAFICOS COMPARATIVOS POR AÑO'!$Q$16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AÑO'!$R$14:$V$14</c:f>
              <c:strCache/>
            </c:strRef>
          </c:cat>
          <c:val>
            <c:numRef>
              <c:f>'GRAFICOS COMPARATIVOS POR AÑO'!$R$16:$V$16</c:f>
              <c:numCache/>
            </c:numRef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5"/>
          <c:w val="0.973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'GRAFICOS COMPARATIVOS POR AÑO'!$Q$21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AÑO'!$R$20:$V$20</c:f>
              <c:strCache/>
            </c:strRef>
          </c:cat>
          <c:val>
            <c:numRef>
              <c:f>'GRAFICOS COMPARATIVOS POR AÑO'!$R$21:$V$21</c:f>
              <c:numCache/>
            </c:numRef>
          </c:val>
          <c:smooth val="0"/>
        </c:ser>
        <c:ser>
          <c:idx val="1"/>
          <c:order val="1"/>
          <c:tx>
            <c:strRef>
              <c:f>'GRAFICOS COMPARATIVOS POR AÑO'!$Q$22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COMPARATIVOS POR AÑO'!$R$20:$V$20</c:f>
              <c:strCache/>
            </c:strRef>
          </c:cat>
          <c:val>
            <c:numRef>
              <c:f>'GRAFICOS COMPARATIVOS POR AÑO'!$R$22:$V$22</c:f>
              <c:numCache/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8845"/>
          <c:w val="0.358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0</xdr:row>
      <xdr:rowOff>0</xdr:rowOff>
    </xdr:from>
    <xdr:to>
      <xdr:col>17</xdr:col>
      <xdr:colOff>381000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0"/>
          <a:ext cx="1714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35</xdr:row>
      <xdr:rowOff>200025</xdr:rowOff>
    </xdr:from>
    <xdr:to>
      <xdr:col>13</xdr:col>
      <xdr:colOff>723900</xdr:colOff>
      <xdr:row>43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9039225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76200</xdr:rowOff>
    </xdr:from>
    <xdr:to>
      <xdr:col>27</xdr:col>
      <xdr:colOff>238125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76200"/>
          <a:ext cx="17145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38100</xdr:rowOff>
    </xdr:from>
    <xdr:to>
      <xdr:col>10</xdr:col>
      <xdr:colOff>752475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228600"/>
          <a:ext cx="1714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904875</xdr:colOff>
      <xdr:row>0</xdr:row>
      <xdr:rowOff>9525</xdr:rowOff>
    </xdr:from>
    <xdr:to>
      <xdr:col>19</xdr:col>
      <xdr:colOff>47625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30950" y="9525"/>
          <a:ext cx="1714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95250</xdr:rowOff>
    </xdr:from>
    <xdr:to>
      <xdr:col>14</xdr:col>
      <xdr:colOff>57150</xdr:colOff>
      <xdr:row>6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5250"/>
          <a:ext cx="1409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7</xdr:col>
      <xdr:colOff>0</xdr:colOff>
      <xdr:row>9</xdr:row>
      <xdr:rowOff>209550</xdr:rowOff>
    </xdr:to>
    <xdr:graphicFrame>
      <xdr:nvGraphicFramePr>
        <xdr:cNvPr id="1" name="4 Gráfico"/>
        <xdr:cNvGraphicFramePr/>
      </xdr:nvGraphicFramePr>
      <xdr:xfrm>
        <a:off x="762000" y="47625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7</xdr:col>
      <xdr:colOff>0</xdr:colOff>
      <xdr:row>22</xdr:row>
      <xdr:rowOff>28575</xdr:rowOff>
    </xdr:to>
    <xdr:graphicFrame>
      <xdr:nvGraphicFramePr>
        <xdr:cNvPr id="2" name="5 Gráfico"/>
        <xdr:cNvGraphicFramePr/>
      </xdr:nvGraphicFramePr>
      <xdr:xfrm>
        <a:off x="762000" y="3133725"/>
        <a:ext cx="4572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123825</xdr:rowOff>
    </xdr:from>
    <xdr:to>
      <xdr:col>13</xdr:col>
      <xdr:colOff>228600</xdr:colOff>
      <xdr:row>9</xdr:row>
      <xdr:rowOff>304800</xdr:rowOff>
    </xdr:to>
    <xdr:graphicFrame>
      <xdr:nvGraphicFramePr>
        <xdr:cNvPr id="3" name="3 Gráfico"/>
        <xdr:cNvGraphicFramePr/>
      </xdr:nvGraphicFramePr>
      <xdr:xfrm>
        <a:off x="5562600" y="123825"/>
        <a:ext cx="4572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9</xdr:row>
      <xdr:rowOff>523875</xdr:rowOff>
    </xdr:from>
    <xdr:to>
      <xdr:col>13</xdr:col>
      <xdr:colOff>238125</xdr:colOff>
      <xdr:row>21</xdr:row>
      <xdr:rowOff>142875</xdr:rowOff>
    </xdr:to>
    <xdr:graphicFrame>
      <xdr:nvGraphicFramePr>
        <xdr:cNvPr id="4" name="6 Gráfico"/>
        <xdr:cNvGraphicFramePr/>
      </xdr:nvGraphicFramePr>
      <xdr:xfrm>
        <a:off x="5572125" y="3057525"/>
        <a:ext cx="45720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247650</xdr:colOff>
      <xdr:row>26</xdr:row>
      <xdr:rowOff>180975</xdr:rowOff>
    </xdr:from>
    <xdr:to>
      <xdr:col>21</xdr:col>
      <xdr:colOff>66675</xdr:colOff>
      <xdr:row>43</xdr:row>
      <xdr:rowOff>76200</xdr:rowOff>
    </xdr:to>
    <xdr:graphicFrame>
      <xdr:nvGraphicFramePr>
        <xdr:cNvPr id="5" name="4 Gráfico"/>
        <xdr:cNvGraphicFramePr/>
      </xdr:nvGraphicFramePr>
      <xdr:xfrm>
        <a:off x="10915650" y="7181850"/>
        <a:ext cx="521017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selection activeCell="Q25" sqref="Q25"/>
    </sheetView>
  </sheetViews>
  <sheetFormatPr defaultColWidth="11.421875" defaultRowHeight="15"/>
  <cols>
    <col min="1" max="1" width="4.7109375" style="0" customWidth="1"/>
    <col min="2" max="2" width="18.8515625" style="33" customWidth="1"/>
    <col min="3" max="3" width="17.00390625" style="33" customWidth="1"/>
    <col min="4" max="4" width="17.421875" style="33" customWidth="1"/>
    <col min="5" max="5" width="16.00390625" style="33" customWidth="1"/>
    <col min="6" max="6" width="20.00390625" style="33" customWidth="1"/>
    <col min="7" max="7" width="14.421875" style="33" customWidth="1"/>
    <col min="8" max="8" width="14.00390625" style="33" customWidth="1"/>
    <col min="9" max="9" width="17.00390625" style="33" customWidth="1"/>
    <col min="10" max="10" width="12.57421875" style="33" hidden="1" customWidth="1"/>
    <col min="11" max="11" width="15.8515625" style="33" hidden="1" customWidth="1"/>
    <col min="12" max="12" width="0" style="0" hidden="1" customWidth="1"/>
    <col min="13" max="13" width="11.140625" style="0" hidden="1" customWidth="1"/>
    <col min="14" max="15" width="0" style="0" hidden="1" customWidth="1"/>
    <col min="16" max="42" width="11.421875" style="21" customWidth="1"/>
  </cols>
  <sheetData>
    <row r="1" spans="1:11" ht="23.25">
      <c r="A1" s="21"/>
      <c r="B1" s="267" t="s">
        <v>78</v>
      </c>
      <c r="C1" s="267"/>
      <c r="D1" s="267"/>
      <c r="E1" s="267"/>
      <c r="F1" s="267"/>
      <c r="G1" s="267"/>
      <c r="H1" s="267"/>
      <c r="I1" s="267"/>
      <c r="J1" s="40"/>
      <c r="K1" s="40"/>
    </row>
    <row r="2" spans="1:15" ht="19.5" thickBot="1">
      <c r="A2" s="21"/>
      <c r="B2" s="164" t="s">
        <v>46</v>
      </c>
      <c r="C2" s="263">
        <v>2015</v>
      </c>
      <c r="D2" s="264"/>
      <c r="E2" s="265"/>
      <c r="F2" s="263">
        <v>2016</v>
      </c>
      <c r="G2" s="264"/>
      <c r="H2" s="264"/>
      <c r="I2" s="252" t="s">
        <v>77</v>
      </c>
      <c r="J2" s="26"/>
      <c r="K2" s="26"/>
      <c r="L2" s="27"/>
      <c r="M2" s="27"/>
      <c r="N2" s="27"/>
      <c r="O2" s="8"/>
    </row>
    <row r="3" spans="1:15" ht="30">
      <c r="A3" s="21"/>
      <c r="B3" s="59" t="s">
        <v>47</v>
      </c>
      <c r="C3" s="59" t="s">
        <v>48</v>
      </c>
      <c r="D3" s="60" t="s">
        <v>49</v>
      </c>
      <c r="E3" s="61" t="s">
        <v>50</v>
      </c>
      <c r="F3" s="59" t="s">
        <v>48</v>
      </c>
      <c r="G3" s="60" t="s">
        <v>49</v>
      </c>
      <c r="H3" s="251" t="s">
        <v>50</v>
      </c>
      <c r="I3" s="189" t="s">
        <v>51</v>
      </c>
      <c r="J3" s="28"/>
      <c r="K3" s="28"/>
      <c r="L3" s="27"/>
      <c r="M3" s="27"/>
      <c r="N3" s="27"/>
      <c r="O3" s="8"/>
    </row>
    <row r="4" spans="1:15" ht="15" customHeight="1">
      <c r="A4" s="21"/>
      <c r="B4" s="45" t="s">
        <v>52</v>
      </c>
      <c r="C4" s="46">
        <v>85.1</v>
      </c>
      <c r="D4" s="29">
        <f>+'personas en el ITESZ Por año'!C9</f>
        <v>506</v>
      </c>
      <c r="E4" s="47">
        <f>C4/D4</f>
        <v>0.16818181818181818</v>
      </c>
      <c r="F4" s="46">
        <v>97</v>
      </c>
      <c r="G4" s="29">
        <f>'personas en el ITESZ Por año'!D9</f>
        <v>572</v>
      </c>
      <c r="H4" s="47">
        <f>F4/G4</f>
        <v>0.16958041958041958</v>
      </c>
      <c r="I4" s="253">
        <f aca="true" t="shared" si="0" ref="I4:I15">(H4-E4)/E4</f>
        <v>0.008316008316008332</v>
      </c>
      <c r="J4" s="31"/>
      <c r="K4" s="32"/>
      <c r="L4" s="27"/>
      <c r="M4" s="27"/>
      <c r="N4" s="27"/>
      <c r="O4" s="8"/>
    </row>
    <row r="5" spans="1:14" ht="15" customHeight="1">
      <c r="A5" s="21"/>
      <c r="B5" s="45" t="s">
        <v>53</v>
      </c>
      <c r="C5" s="46">
        <v>103.2</v>
      </c>
      <c r="D5" s="29">
        <f>+'personas en el ITESZ Por año'!C10</f>
        <v>1911</v>
      </c>
      <c r="E5" s="47">
        <f aca="true" t="shared" si="1" ref="E5:E15">C5/D5</f>
        <v>0.05400313971742543</v>
      </c>
      <c r="F5" s="46">
        <v>94.7</v>
      </c>
      <c r="G5" s="29">
        <f>'personas en el ITESZ Por año'!D10</f>
        <v>2229</v>
      </c>
      <c r="H5" s="47">
        <f aca="true" t="shared" si="2" ref="H5:H15">F5/G5</f>
        <v>0.04248541947061463</v>
      </c>
      <c r="I5" s="30">
        <f t="shared" si="0"/>
        <v>-0.21327871503542098</v>
      </c>
      <c r="J5" s="31"/>
      <c r="K5" s="32"/>
      <c r="L5" s="27"/>
      <c r="M5" s="27"/>
      <c r="N5" s="27"/>
    </row>
    <row r="6" spans="1:14" ht="15" customHeight="1">
      <c r="A6" s="21"/>
      <c r="B6" s="45" t="s">
        <v>54</v>
      </c>
      <c r="C6" s="46">
        <v>102.9</v>
      </c>
      <c r="D6" s="29">
        <f>+'personas en el ITESZ Por año'!C11</f>
        <v>1911</v>
      </c>
      <c r="E6" s="47">
        <f t="shared" si="1"/>
        <v>0.05384615384615385</v>
      </c>
      <c r="F6" s="46">
        <v>113.8</v>
      </c>
      <c r="G6" s="29">
        <f>'personas en el ITESZ Por año'!D11</f>
        <v>2229</v>
      </c>
      <c r="H6" s="47">
        <f t="shared" si="2"/>
        <v>0.05105428443248093</v>
      </c>
      <c r="I6" s="30">
        <f t="shared" si="0"/>
        <v>-0.05184900339678276</v>
      </c>
      <c r="J6" s="31"/>
      <c r="K6" s="32"/>
      <c r="L6" s="27"/>
      <c r="M6" s="27"/>
      <c r="N6" s="27"/>
    </row>
    <row r="7" spans="1:14" ht="15" customHeight="1">
      <c r="A7" s="21"/>
      <c r="B7" s="45" t="s">
        <v>55</v>
      </c>
      <c r="C7" s="46">
        <v>123</v>
      </c>
      <c r="D7" s="29">
        <f>+'personas en el ITESZ Por año'!C12</f>
        <v>1911</v>
      </c>
      <c r="E7" s="47">
        <f t="shared" si="1"/>
        <v>0.06436420722135008</v>
      </c>
      <c r="F7" s="46">
        <v>101.5</v>
      </c>
      <c r="G7" s="29">
        <f>'personas en el ITESZ Por año'!D12</f>
        <v>2229</v>
      </c>
      <c r="H7" s="47">
        <f t="shared" si="2"/>
        <v>0.04553611484970839</v>
      </c>
      <c r="I7" s="30">
        <f t="shared" si="0"/>
        <v>-0.29252426440818924</v>
      </c>
      <c r="J7" s="31"/>
      <c r="K7" s="32"/>
      <c r="L7" s="27"/>
      <c r="M7" s="27"/>
      <c r="N7" s="27"/>
    </row>
    <row r="8" spans="1:14" ht="15" customHeight="1">
      <c r="A8" s="21"/>
      <c r="B8" s="45" t="s">
        <v>56</v>
      </c>
      <c r="C8" s="46">
        <v>165.9</v>
      </c>
      <c r="D8" s="29">
        <f>+'personas en el ITESZ Por año'!C13</f>
        <v>1911</v>
      </c>
      <c r="E8" s="47">
        <f t="shared" si="1"/>
        <v>0.08681318681318681</v>
      </c>
      <c r="F8" s="46">
        <v>176.6</v>
      </c>
      <c r="G8" s="29">
        <f>'personas en el ITESZ Por año'!D13</f>
        <v>2229</v>
      </c>
      <c r="H8" s="47">
        <f t="shared" si="2"/>
        <v>0.07922835352175864</v>
      </c>
      <c r="I8" s="30">
        <f t="shared" si="0"/>
        <v>-0.08736959867341312</v>
      </c>
      <c r="J8" s="31"/>
      <c r="K8" s="46">
        <v>42664</v>
      </c>
      <c r="L8" s="27"/>
      <c r="M8" s="27"/>
      <c r="N8" s="27"/>
    </row>
    <row r="9" spans="1:14" ht="15" customHeight="1">
      <c r="A9" s="21"/>
      <c r="B9" s="45" t="s">
        <v>57</v>
      </c>
      <c r="C9" s="46">
        <v>173.7</v>
      </c>
      <c r="D9" s="29">
        <f>+'personas en el ITESZ Por año'!C14</f>
        <v>1911</v>
      </c>
      <c r="E9" s="47">
        <f t="shared" si="1"/>
        <v>0.09089481946624803</v>
      </c>
      <c r="F9" s="46">
        <v>406</v>
      </c>
      <c r="G9" s="29">
        <f>'personas en el ITESZ Por año'!D14</f>
        <v>2229</v>
      </c>
      <c r="H9" s="47">
        <f t="shared" si="2"/>
        <v>0.18214445939883356</v>
      </c>
      <c r="I9" s="30">
        <f t="shared" si="0"/>
        <v>1.0039036379457165</v>
      </c>
      <c r="J9" s="31"/>
      <c r="K9" s="46"/>
      <c r="L9" s="27"/>
      <c r="M9" s="191"/>
      <c r="N9" s="27"/>
    </row>
    <row r="10" spans="2:42" s="33" customFormat="1" ht="15" customHeight="1">
      <c r="B10" s="48" t="s">
        <v>62</v>
      </c>
      <c r="C10" s="49">
        <v>110.6</v>
      </c>
      <c r="D10" s="29">
        <f>+'personas en el ITESZ Por año'!C15</f>
        <v>705</v>
      </c>
      <c r="E10" s="47">
        <f t="shared" si="1"/>
        <v>0.15687943262411347</v>
      </c>
      <c r="F10" s="49">
        <v>206</v>
      </c>
      <c r="G10" s="29">
        <f>'personas en el ITESZ Por año'!D15</f>
        <v>775</v>
      </c>
      <c r="H10" s="47">
        <f t="shared" si="2"/>
        <v>0.2658064516129032</v>
      </c>
      <c r="I10" s="30">
        <f t="shared" si="0"/>
        <v>0.6943358805343289</v>
      </c>
      <c r="J10" s="31"/>
      <c r="K10" s="46"/>
      <c r="L10" s="27" t="s">
        <v>150</v>
      </c>
      <c r="M10" s="191">
        <v>21</v>
      </c>
      <c r="N10" s="27">
        <v>68285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14" ht="15" customHeight="1">
      <c r="A11" s="21"/>
      <c r="B11" s="45" t="s">
        <v>65</v>
      </c>
      <c r="C11" s="46">
        <v>132.6</v>
      </c>
      <c r="D11" s="34">
        <f>+'personas en el ITESZ Por año'!C16</f>
        <v>2560</v>
      </c>
      <c r="E11" s="47">
        <f t="shared" si="1"/>
        <v>0.051796875</v>
      </c>
      <c r="F11" s="46">
        <v>220</v>
      </c>
      <c r="G11" s="29">
        <f>'personas en el ITESZ Por año'!D16</f>
        <v>2774</v>
      </c>
      <c r="H11" s="47">
        <f t="shared" si="2"/>
        <v>0.07930785868781542</v>
      </c>
      <c r="I11" s="30">
        <f t="shared" si="0"/>
        <v>0.5311321134299207</v>
      </c>
      <c r="J11" s="31"/>
      <c r="K11" s="46"/>
      <c r="L11" s="27" t="s">
        <v>150</v>
      </c>
      <c r="M11" s="191">
        <v>28</v>
      </c>
      <c r="N11" s="27">
        <v>68446</v>
      </c>
    </row>
    <row r="12" spans="1:14" ht="15" customHeight="1">
      <c r="A12" s="21"/>
      <c r="B12" s="45" t="s">
        <v>66</v>
      </c>
      <c r="C12" s="46">
        <v>132.5</v>
      </c>
      <c r="D12" s="34">
        <f>+'personas en el ITESZ Por año'!C17</f>
        <v>2560</v>
      </c>
      <c r="E12" s="47">
        <f t="shared" si="1"/>
        <v>0.0517578125</v>
      </c>
      <c r="F12" s="46">
        <v>201</v>
      </c>
      <c r="G12" s="29">
        <f>'personas en el ITESZ Por año'!D17</f>
        <v>2774</v>
      </c>
      <c r="H12" s="47">
        <f t="shared" si="2"/>
        <v>0.07245854361932227</v>
      </c>
      <c r="I12" s="30">
        <f t="shared" si="0"/>
        <v>0.3999537484186039</v>
      </c>
      <c r="J12" s="31"/>
      <c r="K12" s="46"/>
      <c r="L12" s="27"/>
      <c r="M12" s="191"/>
      <c r="N12" s="27">
        <f>N11-N10</f>
        <v>161</v>
      </c>
    </row>
    <row r="13" spans="1:14" ht="15" customHeight="1">
      <c r="A13" s="21"/>
      <c r="B13" s="45" t="s">
        <v>67</v>
      </c>
      <c r="C13" s="46">
        <v>145.8</v>
      </c>
      <c r="D13" s="34">
        <f>+'personas en el ITESZ Por año'!C18</f>
        <v>2560</v>
      </c>
      <c r="E13" s="47">
        <f t="shared" si="1"/>
        <v>0.05695312500000001</v>
      </c>
      <c r="F13" s="46"/>
      <c r="G13" s="29">
        <f>'personas en el ITESZ Por año'!D18</f>
        <v>2774</v>
      </c>
      <c r="H13" s="47">
        <f t="shared" si="2"/>
        <v>0</v>
      </c>
      <c r="I13" s="30">
        <f t="shared" si="0"/>
        <v>-1</v>
      </c>
      <c r="J13" s="31"/>
      <c r="K13" s="46"/>
      <c r="L13" s="27"/>
      <c r="M13" s="191"/>
      <c r="N13" s="27">
        <v>3</v>
      </c>
    </row>
    <row r="14" spans="1:14" ht="15" customHeight="1">
      <c r="A14" s="21"/>
      <c r="B14" s="45" t="s">
        <v>68</v>
      </c>
      <c r="C14" s="46">
        <v>132.5</v>
      </c>
      <c r="D14" s="34">
        <f>+'personas en el ITESZ Por año'!C19</f>
        <v>2560</v>
      </c>
      <c r="E14" s="47">
        <f t="shared" si="1"/>
        <v>0.0517578125</v>
      </c>
      <c r="F14" s="46"/>
      <c r="G14" s="29">
        <f>'personas en el ITESZ Por año'!D19</f>
        <v>2774</v>
      </c>
      <c r="H14" s="47">
        <f t="shared" si="2"/>
        <v>0</v>
      </c>
      <c r="I14" s="30">
        <f t="shared" si="0"/>
        <v>-1</v>
      </c>
      <c r="J14" s="31"/>
      <c r="K14" s="49"/>
      <c r="L14" s="27"/>
      <c r="M14" s="191"/>
      <c r="N14" s="27">
        <f>N12*N13</f>
        <v>483</v>
      </c>
    </row>
    <row r="15" spans="1:14" ht="15" customHeight="1">
      <c r="A15" s="21"/>
      <c r="B15" s="45" t="s">
        <v>69</v>
      </c>
      <c r="C15" s="50">
        <v>180.78</v>
      </c>
      <c r="D15" s="34">
        <f>+'personas en el ITESZ Por año'!C20</f>
        <v>2560</v>
      </c>
      <c r="E15" s="47">
        <f t="shared" si="1"/>
        <v>0.0706171875</v>
      </c>
      <c r="F15" s="50"/>
      <c r="G15" s="29">
        <f>'personas en el ITESZ Por año'!D20</f>
        <v>2774</v>
      </c>
      <c r="H15" s="47">
        <f t="shared" si="2"/>
        <v>0</v>
      </c>
      <c r="I15" s="30">
        <f t="shared" si="0"/>
        <v>-1</v>
      </c>
      <c r="J15" s="31"/>
      <c r="K15" s="32"/>
      <c r="L15" s="27"/>
      <c r="M15" s="27"/>
      <c r="N15" s="27"/>
    </row>
    <row r="16" spans="1:14" ht="15" customHeight="1">
      <c r="A16" s="21"/>
      <c r="B16" s="41" t="s">
        <v>70</v>
      </c>
      <c r="C16" s="37">
        <f>SUM(C4:C15)</f>
        <v>1588.58</v>
      </c>
      <c r="D16" s="42">
        <f>AVERAGE(D4:D15)</f>
        <v>1963.8333333333333</v>
      </c>
      <c r="E16" s="37">
        <f>SUM(E4:E15)</f>
        <v>0.9578655703702958</v>
      </c>
      <c r="F16" s="37">
        <f>SUM(F7:F15)</f>
        <v>1311.1</v>
      </c>
      <c r="G16" s="42">
        <f>AVERAGE(G7:G15)</f>
        <v>2370.222222222222</v>
      </c>
      <c r="H16" s="37">
        <f>SUM(H4:H15)</f>
        <v>0.9876019051738567</v>
      </c>
      <c r="I16" s="48"/>
      <c r="J16" s="27"/>
      <c r="K16" s="27"/>
      <c r="L16" s="36"/>
      <c r="M16" s="27"/>
      <c r="N16" s="27"/>
    </row>
    <row r="17" spans="1:14" ht="15" customHeight="1">
      <c r="A17" s="21"/>
      <c r="B17" s="41" t="s">
        <v>76</v>
      </c>
      <c r="C17" s="268">
        <f>C16/D16</f>
        <v>0.808917932614784</v>
      </c>
      <c r="D17" s="268"/>
      <c r="E17" s="37"/>
      <c r="F17" s="271">
        <f>F16/G16</f>
        <v>0.5531548846802925</v>
      </c>
      <c r="G17" s="272"/>
      <c r="H17" s="37"/>
      <c r="I17" s="48"/>
      <c r="J17" s="27"/>
      <c r="K17" s="199">
        <f>7000/200</f>
        <v>35</v>
      </c>
      <c r="L17" s="35"/>
      <c r="M17" s="27"/>
      <c r="N17" s="27"/>
    </row>
    <row r="18" spans="1:14" ht="15" customHeight="1">
      <c r="A18" s="21"/>
      <c r="B18" s="43" t="s">
        <v>71</v>
      </c>
      <c r="C18" s="269"/>
      <c r="D18" s="269"/>
      <c r="E18" s="44"/>
      <c r="F18" s="273">
        <f>(F17-C17)/F17</f>
        <v>-0.4623714894650439</v>
      </c>
      <c r="G18" s="274"/>
      <c r="H18" s="44"/>
      <c r="I18" s="48"/>
      <c r="J18" s="27"/>
      <c r="K18" s="27"/>
      <c r="L18" s="36"/>
      <c r="M18" s="27"/>
      <c r="N18" s="27"/>
    </row>
    <row r="19" spans="1:14" ht="15" customHeight="1">
      <c r="A19" s="21"/>
      <c r="B19" s="186"/>
      <c r="C19" s="187"/>
      <c r="D19" s="187"/>
      <c r="E19" s="36"/>
      <c r="F19" s="187"/>
      <c r="G19" s="187"/>
      <c r="H19" s="36"/>
      <c r="I19" s="27"/>
      <c r="J19" s="27"/>
      <c r="K19" s="27"/>
      <c r="L19" s="36"/>
      <c r="M19" s="27"/>
      <c r="N19" s="27"/>
    </row>
    <row r="20" spans="1:11" ht="15">
      <c r="A20" s="21"/>
      <c r="B20" s="262" t="s">
        <v>63</v>
      </c>
      <c r="C20" s="262"/>
      <c r="D20" s="262"/>
      <c r="E20" s="21"/>
      <c r="F20" s="262" t="s">
        <v>144</v>
      </c>
      <c r="G20" s="262"/>
      <c r="H20" s="262"/>
      <c r="I20" s="21"/>
      <c r="J20" s="21"/>
      <c r="K20" s="21"/>
    </row>
    <row r="21" spans="2:11" ht="24.75" customHeight="1">
      <c r="B21" s="246" t="s">
        <v>79</v>
      </c>
      <c r="C21" s="246" t="s">
        <v>80</v>
      </c>
      <c r="D21" s="246" t="s">
        <v>81</v>
      </c>
      <c r="E21" s="247"/>
      <c r="F21" s="246" t="s">
        <v>79</v>
      </c>
      <c r="G21" s="246" t="s">
        <v>80</v>
      </c>
      <c r="H21" s="246" t="s">
        <v>81</v>
      </c>
      <c r="I21" s="247"/>
      <c r="J21" s="38"/>
      <c r="K21" s="38"/>
    </row>
    <row r="22" spans="2:10" ht="15">
      <c r="B22" s="57" t="s">
        <v>72</v>
      </c>
      <c r="C22" s="52">
        <f>+C4+C5+C6</f>
        <v>291.20000000000005</v>
      </c>
      <c r="D22" s="53">
        <f>+F4+F5+F6</f>
        <v>305.5</v>
      </c>
      <c r="E22" s="221"/>
      <c r="F22" s="57" t="s">
        <v>72</v>
      </c>
      <c r="G22" s="52">
        <f>+E4+E5+E6</f>
        <v>0.27603111174539746</v>
      </c>
      <c r="H22" s="53">
        <f>+H4+H5+H6</f>
        <v>0.26312012348351516</v>
      </c>
      <c r="I22" s="21"/>
      <c r="J22" s="39"/>
    </row>
    <row r="23" spans="2:10" ht="15">
      <c r="B23" s="57" t="s">
        <v>73</v>
      </c>
      <c r="C23" s="52">
        <f>+C7+C8+C9</f>
        <v>462.59999999999997</v>
      </c>
      <c r="D23" s="53">
        <f>+F7+F8+F9</f>
        <v>684.1</v>
      </c>
      <c r="E23" s="221"/>
      <c r="F23" s="57" t="s">
        <v>73</v>
      </c>
      <c r="G23" s="52">
        <f>+E7+E8+E9</f>
        <v>0.24207221350078492</v>
      </c>
      <c r="H23" s="53">
        <f>+H7+H8+H9</f>
        <v>0.3069089277703006</v>
      </c>
      <c r="I23" s="21"/>
      <c r="J23" s="39"/>
    </row>
    <row r="24" spans="2:10" ht="15">
      <c r="B24" s="57" t="s">
        <v>74</v>
      </c>
      <c r="C24" s="52">
        <f>+C10+C11+C12</f>
        <v>375.7</v>
      </c>
      <c r="D24" s="53">
        <f>+F10+F11+F12</f>
        <v>627</v>
      </c>
      <c r="E24" s="221"/>
      <c r="F24" s="57" t="s">
        <v>74</v>
      </c>
      <c r="G24" s="52">
        <f>+E10+E11+E12</f>
        <v>0.2604341201241135</v>
      </c>
      <c r="H24" s="53">
        <f>+H10+H11+H12</f>
        <v>0.41757285392004095</v>
      </c>
      <c r="I24" s="21"/>
      <c r="J24" s="39"/>
    </row>
    <row r="25" spans="2:11" ht="15">
      <c r="B25" s="57" t="s">
        <v>75</v>
      </c>
      <c r="C25" s="52">
        <f>C13+C14+C15</f>
        <v>459.08000000000004</v>
      </c>
      <c r="D25" s="54">
        <f>+F13+F14+F15</f>
        <v>0</v>
      </c>
      <c r="E25" s="221"/>
      <c r="F25" s="57" t="s">
        <v>75</v>
      </c>
      <c r="G25" s="52">
        <f>+E13+E14+E15</f>
        <v>0.179328125</v>
      </c>
      <c r="H25" s="54">
        <f>+H13+H14+H15</f>
        <v>0</v>
      </c>
      <c r="I25" s="221"/>
      <c r="J25" s="39"/>
      <c r="K25" s="39"/>
    </row>
    <row r="26" spans="2:13" ht="15">
      <c r="B26" s="18" t="s">
        <v>70</v>
      </c>
      <c r="C26" s="55">
        <f>SUM(C22:C25)</f>
        <v>1588.58</v>
      </c>
      <c r="D26" s="55">
        <f>SUM(D22:D25)</f>
        <v>1616.6</v>
      </c>
      <c r="E26" s="250"/>
      <c r="F26" s="18" t="s">
        <v>70</v>
      </c>
      <c r="G26" s="132">
        <f>SUM(G22:G25)</f>
        <v>0.9578655703702958</v>
      </c>
      <c r="H26" s="132">
        <f>SUM(H22:H25)</f>
        <v>0.9876019051738567</v>
      </c>
      <c r="I26" s="21"/>
      <c r="J26" s="39">
        <f>G26*I26</f>
        <v>0</v>
      </c>
      <c r="K26" s="39">
        <f>J26/200</f>
        <v>0</v>
      </c>
      <c r="L26">
        <v>200</v>
      </c>
      <c r="M26" s="200">
        <f>K26*L26</f>
        <v>0</v>
      </c>
    </row>
    <row r="27" s="21" customFormat="1" ht="15">
      <c r="B27" s="98"/>
    </row>
    <row r="28" spans="2:9" ht="27" customHeight="1">
      <c r="B28" s="270" t="s">
        <v>82</v>
      </c>
      <c r="C28" s="270"/>
      <c r="D28" s="270"/>
      <c r="E28" s="270"/>
      <c r="F28" s="270"/>
      <c r="G28" s="270"/>
      <c r="H28" s="248"/>
      <c r="I28" s="248"/>
    </row>
    <row r="29" spans="2:9" ht="15">
      <c r="B29" s="63" t="s">
        <v>83</v>
      </c>
      <c r="C29" s="64" t="s">
        <v>84</v>
      </c>
      <c r="D29" s="64" t="s">
        <v>85</v>
      </c>
      <c r="E29" s="266" t="s">
        <v>86</v>
      </c>
      <c r="F29" s="266"/>
      <c r="G29" s="64" t="s">
        <v>61</v>
      </c>
      <c r="H29" s="249"/>
      <c r="I29" s="249"/>
    </row>
    <row r="30" spans="2:9" ht="15">
      <c r="B30" s="65">
        <v>2015</v>
      </c>
      <c r="C30" s="54">
        <f>C17</f>
        <v>0.808917932614784</v>
      </c>
      <c r="D30" s="65" t="s">
        <v>63</v>
      </c>
      <c r="E30" s="65">
        <v>0.788</v>
      </c>
      <c r="F30" s="66" t="s">
        <v>64</v>
      </c>
      <c r="G30" s="65">
        <f>C30*E30</f>
        <v>0.6374273309004498</v>
      </c>
      <c r="H30" s="249"/>
      <c r="I30" s="249"/>
    </row>
    <row r="31" spans="2:9" ht="15">
      <c r="B31" s="65">
        <v>2016</v>
      </c>
      <c r="C31" s="54">
        <f>F17</f>
        <v>0.5531548846802925</v>
      </c>
      <c r="D31" s="65" t="s">
        <v>63</v>
      </c>
      <c r="E31" s="65">
        <v>0.788</v>
      </c>
      <c r="F31" s="66" t="s">
        <v>64</v>
      </c>
      <c r="G31" s="65">
        <f>C31*E31</f>
        <v>0.4358860491280705</v>
      </c>
      <c r="H31" s="249"/>
      <c r="I31" s="249"/>
    </row>
    <row r="32" s="21" customFormat="1" ht="15">
      <c r="B32" s="98"/>
    </row>
    <row r="33" s="21" customFormat="1" ht="15">
      <c r="B33" s="98"/>
    </row>
    <row r="34" s="21" customFormat="1" ht="15">
      <c r="B34" s="98"/>
    </row>
    <row r="35" s="21" customFormat="1" ht="15">
      <c r="B35" s="98"/>
    </row>
    <row r="36" s="21" customFormat="1" ht="15">
      <c r="B36" s="98"/>
    </row>
    <row r="37" s="21" customFormat="1" ht="15">
      <c r="B37" s="98"/>
    </row>
    <row r="38" s="21" customFormat="1" ht="15">
      <c r="B38" s="98"/>
    </row>
    <row r="39" s="21" customFormat="1" ht="15">
      <c r="B39" s="98"/>
    </row>
    <row r="40" s="21" customFormat="1" ht="15">
      <c r="B40" s="98"/>
    </row>
    <row r="41" s="21" customFormat="1" ht="15">
      <c r="B41" s="98"/>
    </row>
    <row r="42" s="21" customFormat="1" ht="15">
      <c r="B42" s="98"/>
    </row>
    <row r="43" s="21" customFormat="1" ht="15">
      <c r="B43" s="98"/>
    </row>
    <row r="44" s="21" customFormat="1" ht="15">
      <c r="B44" s="98"/>
    </row>
    <row r="45" s="21" customFormat="1" ht="15">
      <c r="B45" s="98"/>
    </row>
    <row r="46" s="21" customFormat="1" ht="15">
      <c r="B46" s="98"/>
    </row>
    <row r="47" spans="2:11" ht="15">
      <c r="B47" s="27"/>
      <c r="C47"/>
      <c r="D47"/>
      <c r="E47"/>
      <c r="F47"/>
      <c r="G47"/>
      <c r="H47"/>
      <c r="I47"/>
      <c r="J47"/>
      <c r="K47"/>
    </row>
    <row r="48" spans="2:11" ht="15">
      <c r="B48" s="27"/>
      <c r="C48"/>
      <c r="D48"/>
      <c r="E48"/>
      <c r="F48"/>
      <c r="G48"/>
      <c r="H48"/>
      <c r="I48"/>
      <c r="J48"/>
      <c r="K48"/>
    </row>
    <row r="49" spans="2:11" ht="15">
      <c r="B49" s="27"/>
      <c r="C49"/>
      <c r="D49"/>
      <c r="E49"/>
      <c r="F49"/>
      <c r="G49"/>
      <c r="H49"/>
      <c r="I49"/>
      <c r="J49"/>
      <c r="K49"/>
    </row>
    <row r="50" spans="2:11" ht="15">
      <c r="B50" s="27"/>
      <c r="C50"/>
      <c r="D50"/>
      <c r="E50"/>
      <c r="F50"/>
      <c r="G50"/>
      <c r="H50"/>
      <c r="I50"/>
      <c r="J50"/>
      <c r="K50"/>
    </row>
    <row r="51" spans="2:11" ht="15">
      <c r="B51" s="27"/>
      <c r="C51"/>
      <c r="D51"/>
      <c r="E51"/>
      <c r="F51"/>
      <c r="G51"/>
      <c r="H51"/>
      <c r="I51"/>
      <c r="J51"/>
      <c r="K51"/>
    </row>
    <row r="52" spans="2:11" ht="15">
      <c r="B52" s="27"/>
      <c r="C52"/>
      <c r="D52"/>
      <c r="E52"/>
      <c r="F52"/>
      <c r="G52"/>
      <c r="H52"/>
      <c r="I52"/>
      <c r="J52"/>
      <c r="K52"/>
    </row>
    <row r="53" spans="2:11" ht="15">
      <c r="B53" s="27"/>
      <c r="C53"/>
      <c r="D53"/>
      <c r="E53"/>
      <c r="F53"/>
      <c r="G53"/>
      <c r="H53"/>
      <c r="I53"/>
      <c r="J53"/>
      <c r="K53"/>
    </row>
    <row r="54" spans="2:11" ht="15">
      <c r="B54" s="27"/>
      <c r="C54"/>
      <c r="D54"/>
      <c r="E54"/>
      <c r="F54"/>
      <c r="G54"/>
      <c r="H54"/>
      <c r="I54"/>
      <c r="J54"/>
      <c r="K54"/>
    </row>
  </sheetData>
  <sheetProtection/>
  <mergeCells count="11">
    <mergeCell ref="F20:H20"/>
    <mergeCell ref="B20:D20"/>
    <mergeCell ref="C2:E2"/>
    <mergeCell ref="F2:H2"/>
    <mergeCell ref="E29:F29"/>
    <mergeCell ref="B1:I1"/>
    <mergeCell ref="C17:D17"/>
    <mergeCell ref="C18:D18"/>
    <mergeCell ref="B28:G28"/>
    <mergeCell ref="F17:G17"/>
    <mergeCell ref="F18:G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zoomScale="77" zoomScaleNormal="77" zoomScalePageLayoutView="0" workbookViewId="0" topLeftCell="A10">
      <selection activeCell="C31" sqref="C31:K31"/>
    </sheetView>
  </sheetViews>
  <sheetFormatPr defaultColWidth="11.421875" defaultRowHeight="15"/>
  <cols>
    <col min="1" max="1" width="11.421875" style="21" customWidth="1"/>
    <col min="2" max="2" width="21.00390625" style="0" customWidth="1"/>
    <col min="3" max="3" width="15.00390625" style="0" bestFit="1" customWidth="1"/>
    <col min="4" max="4" width="20.421875" style="0" customWidth="1"/>
    <col min="5" max="5" width="15.8515625" style="0" bestFit="1" customWidth="1"/>
    <col min="6" max="6" width="28.28125" style="0" customWidth="1"/>
    <col min="7" max="7" width="19.00390625" style="0" customWidth="1"/>
    <col min="8" max="8" width="15.00390625" style="0" bestFit="1" customWidth="1"/>
    <col min="9" max="9" width="15.00390625" style="0" customWidth="1"/>
    <col min="10" max="10" width="20.421875" style="0" bestFit="1" customWidth="1"/>
    <col min="11" max="11" width="20.140625" style="0" bestFit="1" customWidth="1"/>
    <col min="12" max="12" width="17.8515625" style="0" bestFit="1" customWidth="1"/>
    <col min="13" max="13" width="17.57421875" style="0" bestFit="1" customWidth="1"/>
    <col min="14" max="14" width="17.8515625" style="0" bestFit="1" customWidth="1"/>
    <col min="15" max="15" width="17.28125" style="0" bestFit="1" customWidth="1"/>
    <col min="16" max="16" width="14.421875" style="0" customWidth="1"/>
    <col min="17" max="17" width="12.140625" style="0" customWidth="1"/>
    <col min="18" max="18" width="12.28125" style="0" bestFit="1" customWidth="1"/>
    <col min="19" max="19" width="18.7109375" style="0" bestFit="1" customWidth="1"/>
    <col min="20" max="20" width="17.7109375" style="0" bestFit="1" customWidth="1"/>
    <col min="21" max="21" width="15.140625" style="0" bestFit="1" customWidth="1"/>
    <col min="22" max="22" width="15.57421875" style="0" bestFit="1" customWidth="1"/>
    <col min="23" max="23" width="12.28125" style="0" bestFit="1" customWidth="1"/>
    <col min="24" max="24" width="18.7109375" style="0" bestFit="1" customWidth="1"/>
    <col min="25" max="25" width="17.7109375" style="0" bestFit="1" customWidth="1"/>
    <col min="26" max="27" width="14.57421875" style="0" customWidth="1"/>
    <col min="28" max="28" width="15.7109375" style="0" customWidth="1"/>
    <col min="29" max="29" width="13.7109375" style="0" customWidth="1"/>
    <col min="30" max="30" width="12.8515625" style="0" customWidth="1"/>
  </cols>
  <sheetData>
    <row r="1" spans="12:15" s="21" customFormat="1" ht="15">
      <c r="L1" s="73"/>
      <c r="M1" s="73"/>
      <c r="N1" s="73"/>
      <c r="O1" s="73"/>
    </row>
    <row r="2" spans="2:32" ht="23.25" customHeight="1">
      <c r="B2" s="277" t="s">
        <v>114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2:32" ht="27" thickBot="1">
      <c r="B3" s="279" t="s">
        <v>117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100"/>
      <c r="S3" s="10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77.25" thickBot="1">
      <c r="B4" s="165" t="s">
        <v>47</v>
      </c>
      <c r="C4" s="166" t="s">
        <v>87</v>
      </c>
      <c r="D4" s="166" t="s">
        <v>88</v>
      </c>
      <c r="E4" s="166" t="s">
        <v>89</v>
      </c>
      <c r="F4" s="166" t="s">
        <v>90</v>
      </c>
      <c r="G4" s="166" t="s">
        <v>91</v>
      </c>
      <c r="H4" s="166" t="s">
        <v>120</v>
      </c>
      <c r="I4" s="166" t="s">
        <v>119</v>
      </c>
      <c r="J4" s="166" t="s">
        <v>121</v>
      </c>
      <c r="K4" s="166" t="s">
        <v>113</v>
      </c>
      <c r="L4" s="167" t="s">
        <v>70</v>
      </c>
      <c r="M4" s="167" t="s">
        <v>92</v>
      </c>
      <c r="N4" s="167" t="s">
        <v>49</v>
      </c>
      <c r="O4" s="168" t="s">
        <v>93</v>
      </c>
      <c r="P4" s="168" t="s">
        <v>115</v>
      </c>
      <c r="Q4" s="168" t="s">
        <v>116</v>
      </c>
      <c r="R4" s="168" t="s">
        <v>124</v>
      </c>
      <c r="S4" s="168" t="s">
        <v>125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32" ht="15.75" thickTop="1">
      <c r="B5" s="67" t="s">
        <v>94</v>
      </c>
      <c r="C5" s="70">
        <v>57</v>
      </c>
      <c r="D5" s="76">
        <v>85.2</v>
      </c>
      <c r="E5" s="68">
        <v>10</v>
      </c>
      <c r="F5" s="70">
        <v>278.3</v>
      </c>
      <c r="G5" s="69">
        <v>121</v>
      </c>
      <c r="H5" s="70">
        <v>142</v>
      </c>
      <c r="I5" s="70"/>
      <c r="J5" s="70">
        <v>40</v>
      </c>
      <c r="K5" s="70">
        <v>219.5</v>
      </c>
      <c r="L5" s="78">
        <f>SUM(C5:K5)</f>
        <v>953</v>
      </c>
      <c r="M5" s="29">
        <f>H5+J5+K5</f>
        <v>401.5</v>
      </c>
      <c r="N5" s="86">
        <f>'personas en el ITESZ Por año'!C9</f>
        <v>506</v>
      </c>
      <c r="O5" s="89">
        <f>M5/N5</f>
        <v>0.7934782608695652</v>
      </c>
      <c r="P5" s="275">
        <f>M17/N17</f>
        <v>3.9699906645166765</v>
      </c>
      <c r="Q5" s="275">
        <f>L17/N17</f>
        <v>9.122566409233642</v>
      </c>
      <c r="R5" s="275">
        <f>E38/N17</f>
        <v>5.152575744716965</v>
      </c>
      <c r="S5" s="275">
        <f>D38/N17</f>
        <v>3.9699906645166765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15">
      <c r="B6" s="71" t="s">
        <v>95</v>
      </c>
      <c r="C6" s="72">
        <v>38.5</v>
      </c>
      <c r="D6" s="77">
        <v>26.5</v>
      </c>
      <c r="E6" s="72">
        <v>12</v>
      </c>
      <c r="F6" s="72">
        <v>0</v>
      </c>
      <c r="G6" s="29">
        <v>45</v>
      </c>
      <c r="H6" s="72">
        <v>312</v>
      </c>
      <c r="I6" s="72"/>
      <c r="J6" s="72">
        <v>40</v>
      </c>
      <c r="K6" s="72">
        <v>132</v>
      </c>
      <c r="L6" s="78">
        <f aca="true" t="shared" si="0" ref="L6:L16">SUM(C6:K6)</f>
        <v>606</v>
      </c>
      <c r="M6" s="29">
        <f aca="true" t="shared" si="1" ref="M6:M16">H6+J6+K6</f>
        <v>484</v>
      </c>
      <c r="N6" s="86">
        <f>'personas en el ITESZ Por año'!C10</f>
        <v>1911</v>
      </c>
      <c r="O6" s="89">
        <f aca="true" t="shared" si="2" ref="O6:O16">M6/N6</f>
        <v>0.2532705389848247</v>
      </c>
      <c r="P6" s="275"/>
      <c r="Q6" s="275"/>
      <c r="R6" s="275"/>
      <c r="S6" s="275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15">
      <c r="B7" s="71" t="s">
        <v>96</v>
      </c>
      <c r="C7" s="72">
        <v>278.4</v>
      </c>
      <c r="D7" s="77">
        <v>466.4</v>
      </c>
      <c r="E7" s="72">
        <v>69.5</v>
      </c>
      <c r="F7" s="72">
        <v>0</v>
      </c>
      <c r="G7" s="29">
        <v>221</v>
      </c>
      <c r="H7" s="72">
        <v>507</v>
      </c>
      <c r="I7" s="72"/>
      <c r="J7" s="72">
        <v>70</v>
      </c>
      <c r="K7" s="72">
        <v>95.9</v>
      </c>
      <c r="L7" s="78">
        <f t="shared" si="0"/>
        <v>1708.2</v>
      </c>
      <c r="M7" s="29">
        <f t="shared" si="1"/>
        <v>672.9</v>
      </c>
      <c r="N7" s="86">
        <f>'personas en el ITESZ Por año'!C11</f>
        <v>1911</v>
      </c>
      <c r="O7" s="89">
        <f t="shared" si="2"/>
        <v>0.3521193092621664</v>
      </c>
      <c r="P7" s="275"/>
      <c r="Q7" s="275"/>
      <c r="R7" s="275"/>
      <c r="S7" s="27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2:32" ht="15">
      <c r="B8" s="71" t="s">
        <v>97</v>
      </c>
      <c r="C8" s="72">
        <v>122</v>
      </c>
      <c r="D8" s="77">
        <v>12</v>
      </c>
      <c r="E8" s="72">
        <v>387</v>
      </c>
      <c r="F8" s="72">
        <v>36</v>
      </c>
      <c r="G8" s="29">
        <v>36</v>
      </c>
      <c r="H8" s="72">
        <v>285</v>
      </c>
      <c r="I8" s="72"/>
      <c r="J8" s="72">
        <v>70</v>
      </c>
      <c r="K8" s="72">
        <v>387</v>
      </c>
      <c r="L8" s="78">
        <f t="shared" si="0"/>
        <v>1335</v>
      </c>
      <c r="M8" s="29">
        <f t="shared" si="1"/>
        <v>742</v>
      </c>
      <c r="N8" s="86">
        <f>'personas en el ITESZ Por año'!C12</f>
        <v>1911</v>
      </c>
      <c r="O8" s="89">
        <f t="shared" si="2"/>
        <v>0.3882783882783883</v>
      </c>
      <c r="P8" s="275"/>
      <c r="Q8" s="275"/>
      <c r="R8" s="275"/>
      <c r="S8" s="27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2:32" ht="15">
      <c r="B9" s="71" t="s">
        <v>98</v>
      </c>
      <c r="C9" s="72">
        <v>38</v>
      </c>
      <c r="D9" s="77">
        <v>413</v>
      </c>
      <c r="E9" s="72">
        <v>103</v>
      </c>
      <c r="F9" s="72">
        <v>38</v>
      </c>
      <c r="G9" s="29">
        <v>94</v>
      </c>
      <c r="H9" s="72">
        <v>323</v>
      </c>
      <c r="I9" s="72"/>
      <c r="J9" s="72">
        <v>70</v>
      </c>
      <c r="K9" s="72">
        <v>9</v>
      </c>
      <c r="L9" s="78">
        <f t="shared" si="0"/>
        <v>1088</v>
      </c>
      <c r="M9" s="29">
        <f t="shared" si="1"/>
        <v>402</v>
      </c>
      <c r="N9" s="86">
        <f>'personas en el ITESZ Por año'!C13</f>
        <v>1911</v>
      </c>
      <c r="O9" s="89">
        <f t="shared" si="2"/>
        <v>0.21036106750392464</v>
      </c>
      <c r="P9" s="275"/>
      <c r="Q9" s="275"/>
      <c r="R9" s="275"/>
      <c r="S9" s="275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2:32" ht="15">
      <c r="B10" s="71" t="s">
        <v>99</v>
      </c>
      <c r="C10" s="72">
        <v>307</v>
      </c>
      <c r="D10" s="77">
        <v>615</v>
      </c>
      <c r="E10" s="72">
        <v>83</v>
      </c>
      <c r="F10" s="72">
        <v>182</v>
      </c>
      <c r="G10" s="29">
        <v>101</v>
      </c>
      <c r="H10" s="72">
        <v>320</v>
      </c>
      <c r="I10" s="72"/>
      <c r="J10" s="72">
        <v>40</v>
      </c>
      <c r="K10" s="72">
        <v>420</v>
      </c>
      <c r="L10" s="78">
        <f t="shared" si="0"/>
        <v>2068</v>
      </c>
      <c r="M10" s="29">
        <f t="shared" si="1"/>
        <v>780</v>
      </c>
      <c r="N10" s="86">
        <f>'personas en el ITESZ Por año'!C14</f>
        <v>1911</v>
      </c>
      <c r="O10" s="89">
        <f t="shared" si="2"/>
        <v>0.40816326530612246</v>
      </c>
      <c r="P10" s="275"/>
      <c r="Q10" s="275"/>
      <c r="R10" s="275"/>
      <c r="S10" s="275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2:32" ht="15">
      <c r="B11" s="71" t="s">
        <v>100</v>
      </c>
      <c r="C11" s="72">
        <v>236</v>
      </c>
      <c r="D11" s="77">
        <v>203</v>
      </c>
      <c r="E11" s="72">
        <v>407</v>
      </c>
      <c r="F11" s="72">
        <v>257</v>
      </c>
      <c r="G11" s="29">
        <v>33</v>
      </c>
      <c r="H11" s="72">
        <v>352</v>
      </c>
      <c r="I11" s="72"/>
      <c r="J11" s="72">
        <v>15</v>
      </c>
      <c r="K11" s="79">
        <v>490</v>
      </c>
      <c r="L11" s="78">
        <f t="shared" si="0"/>
        <v>1993</v>
      </c>
      <c r="M11" s="29">
        <f t="shared" si="1"/>
        <v>857</v>
      </c>
      <c r="N11" s="198">
        <f>'personas en el ITESZ Por año'!C15</f>
        <v>705</v>
      </c>
      <c r="O11" s="89">
        <f t="shared" si="2"/>
        <v>1.2156028368794327</v>
      </c>
      <c r="P11" s="275"/>
      <c r="Q11" s="275"/>
      <c r="R11" s="275"/>
      <c r="S11" s="275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 ht="15">
      <c r="B12" s="71" t="s">
        <v>101</v>
      </c>
      <c r="C12" s="72">
        <v>157</v>
      </c>
      <c r="D12" s="77">
        <v>98</v>
      </c>
      <c r="E12" s="72">
        <v>175</v>
      </c>
      <c r="F12" s="72">
        <v>46</v>
      </c>
      <c r="G12" s="29">
        <v>58</v>
      </c>
      <c r="H12" s="72">
        <v>204</v>
      </c>
      <c r="I12" s="72"/>
      <c r="J12" s="72">
        <v>75</v>
      </c>
      <c r="K12" s="72">
        <v>222</v>
      </c>
      <c r="L12" s="78">
        <f t="shared" si="0"/>
        <v>1035</v>
      </c>
      <c r="M12" s="29">
        <f t="shared" si="1"/>
        <v>501</v>
      </c>
      <c r="N12" s="86">
        <f>'personas en el ITESZ Por año'!C16</f>
        <v>2560</v>
      </c>
      <c r="O12" s="89">
        <f t="shared" si="2"/>
        <v>0.195703125</v>
      </c>
      <c r="P12" s="275"/>
      <c r="Q12" s="275"/>
      <c r="R12" s="275"/>
      <c r="S12" s="27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 ht="15">
      <c r="B13" s="71" t="s">
        <v>102</v>
      </c>
      <c r="C13" s="72">
        <v>101</v>
      </c>
      <c r="D13" s="77">
        <v>106</v>
      </c>
      <c r="E13" s="72">
        <v>205</v>
      </c>
      <c r="F13" s="72">
        <v>248</v>
      </c>
      <c r="G13" s="29">
        <v>98</v>
      </c>
      <c r="H13" s="72">
        <v>156</v>
      </c>
      <c r="I13" s="72"/>
      <c r="J13" s="72">
        <v>75</v>
      </c>
      <c r="K13" s="72">
        <v>259</v>
      </c>
      <c r="L13" s="78">
        <f t="shared" si="0"/>
        <v>1248</v>
      </c>
      <c r="M13" s="29">
        <f t="shared" si="1"/>
        <v>490</v>
      </c>
      <c r="N13" s="86">
        <f>'personas en el ITESZ Por año'!C17</f>
        <v>2560</v>
      </c>
      <c r="O13" s="89">
        <f t="shared" si="2"/>
        <v>0.19140625</v>
      </c>
      <c r="P13" s="275"/>
      <c r="Q13" s="275"/>
      <c r="R13" s="275"/>
      <c r="S13" s="27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ht="15">
      <c r="B14" s="71" t="s">
        <v>103</v>
      </c>
      <c r="C14" s="72">
        <v>200</v>
      </c>
      <c r="D14" s="77">
        <v>88</v>
      </c>
      <c r="E14" s="72">
        <v>212</v>
      </c>
      <c r="F14" s="72">
        <v>243</v>
      </c>
      <c r="G14" s="72">
        <v>101</v>
      </c>
      <c r="H14" s="72">
        <v>217</v>
      </c>
      <c r="I14" s="72"/>
      <c r="J14" s="72">
        <v>45</v>
      </c>
      <c r="K14" s="72">
        <v>398</v>
      </c>
      <c r="L14" s="78">
        <f t="shared" si="0"/>
        <v>1504</v>
      </c>
      <c r="M14" s="29">
        <f t="shared" si="1"/>
        <v>660</v>
      </c>
      <c r="N14" s="86">
        <f>'personas en el ITESZ Por año'!C18</f>
        <v>2560</v>
      </c>
      <c r="O14" s="89">
        <f t="shared" si="2"/>
        <v>0.2578125</v>
      </c>
      <c r="P14" s="275"/>
      <c r="Q14" s="275"/>
      <c r="R14" s="275"/>
      <c r="S14" s="275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2:32" ht="15">
      <c r="B15" s="71" t="s">
        <v>104</v>
      </c>
      <c r="C15" s="72">
        <v>359</v>
      </c>
      <c r="D15" s="77">
        <v>418</v>
      </c>
      <c r="E15" s="72">
        <v>385</v>
      </c>
      <c r="F15" s="72">
        <v>613</v>
      </c>
      <c r="G15" s="72">
        <v>25</v>
      </c>
      <c r="H15" s="72">
        <v>498</v>
      </c>
      <c r="I15" s="72"/>
      <c r="J15" s="72">
        <v>15</v>
      </c>
      <c r="K15" s="72">
        <v>669</v>
      </c>
      <c r="L15" s="78">
        <f t="shared" si="0"/>
        <v>2982</v>
      </c>
      <c r="M15" s="29">
        <f t="shared" si="1"/>
        <v>1182</v>
      </c>
      <c r="N15" s="86">
        <f>'personas en el ITESZ Por año'!C19</f>
        <v>2560</v>
      </c>
      <c r="O15" s="89">
        <f t="shared" si="2"/>
        <v>0.46171875</v>
      </c>
      <c r="P15" s="275"/>
      <c r="Q15" s="275"/>
      <c r="R15" s="275"/>
      <c r="S15" s="275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2:32" ht="15.75" thickBot="1">
      <c r="B16" s="80" t="s">
        <v>105</v>
      </c>
      <c r="C16" s="72">
        <v>70</v>
      </c>
      <c r="D16" s="72">
        <v>88</v>
      </c>
      <c r="E16" s="72">
        <v>294</v>
      </c>
      <c r="F16" s="72">
        <v>279</v>
      </c>
      <c r="G16" s="72">
        <v>40</v>
      </c>
      <c r="H16" s="72">
        <v>217</v>
      </c>
      <c r="I16" s="72"/>
      <c r="J16" s="72">
        <v>9</v>
      </c>
      <c r="K16" s="72">
        <v>398</v>
      </c>
      <c r="L16" s="78">
        <f t="shared" si="0"/>
        <v>1395</v>
      </c>
      <c r="M16" s="29">
        <f t="shared" si="1"/>
        <v>624</v>
      </c>
      <c r="N16" s="86">
        <f>'personas en el ITESZ Por año'!C20</f>
        <v>2560</v>
      </c>
      <c r="O16" s="89">
        <f t="shared" si="2"/>
        <v>0.24375</v>
      </c>
      <c r="P16" s="275"/>
      <c r="Q16" s="275"/>
      <c r="R16" s="275"/>
      <c r="S16" s="27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2:32" ht="15">
      <c r="B17" s="74" t="s">
        <v>112</v>
      </c>
      <c r="C17" s="69">
        <f>SUM(C5:C16)</f>
        <v>1963.9</v>
      </c>
      <c r="D17" s="69">
        <f aca="true" t="shared" si="3" ref="D17:M17">SUM(D5:D16)</f>
        <v>2619.1</v>
      </c>
      <c r="E17" s="69">
        <f t="shared" si="3"/>
        <v>2342.5</v>
      </c>
      <c r="F17" s="69">
        <f t="shared" si="3"/>
        <v>2220.3</v>
      </c>
      <c r="G17" s="69">
        <f t="shared" si="3"/>
        <v>973</v>
      </c>
      <c r="H17" s="69">
        <f t="shared" si="3"/>
        <v>3533</v>
      </c>
      <c r="I17" s="69">
        <f t="shared" si="3"/>
        <v>0</v>
      </c>
      <c r="J17" s="69">
        <f t="shared" si="3"/>
        <v>564</v>
      </c>
      <c r="K17" s="69">
        <f t="shared" si="3"/>
        <v>3699.4</v>
      </c>
      <c r="L17" s="29">
        <f t="shared" si="3"/>
        <v>17915.2</v>
      </c>
      <c r="M17" s="90">
        <f t="shared" si="3"/>
        <v>7796.4</v>
      </c>
      <c r="N17" s="91">
        <f>AVERAGE(N5:N16)</f>
        <v>1963.8333333333333</v>
      </c>
      <c r="O17" s="92">
        <f>SUM(O5:O16)</f>
        <v>4.971664292084426</v>
      </c>
      <c r="P17" s="275"/>
      <c r="Q17" s="275"/>
      <c r="R17" s="275"/>
      <c r="S17" s="27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ht="15">
      <c r="B18" s="74"/>
      <c r="C18" s="69"/>
      <c r="D18" s="69"/>
      <c r="E18" s="69"/>
      <c r="F18" s="69"/>
      <c r="G18" s="69"/>
      <c r="H18" s="69"/>
      <c r="I18" s="69"/>
      <c r="J18" s="69"/>
      <c r="K18" s="69"/>
      <c r="L18" s="29"/>
      <c r="M18" s="90"/>
      <c r="N18" s="91"/>
      <c r="O18" s="92"/>
      <c r="P18" s="94"/>
      <c r="Q18" s="9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ht="26.25" customHeight="1">
      <c r="B19" s="277" t="s">
        <v>114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2" ht="27" thickBot="1">
      <c r="B20" s="279" t="s">
        <v>118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100"/>
      <c r="S20" s="10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2:32" ht="77.25" thickBot="1">
      <c r="B21" s="165" t="s">
        <v>47</v>
      </c>
      <c r="C21" s="166" t="s">
        <v>87</v>
      </c>
      <c r="D21" s="166" t="s">
        <v>88</v>
      </c>
      <c r="E21" s="166" t="s">
        <v>89</v>
      </c>
      <c r="F21" s="166" t="s">
        <v>90</v>
      </c>
      <c r="G21" s="166" t="s">
        <v>91</v>
      </c>
      <c r="H21" s="166" t="s">
        <v>120</v>
      </c>
      <c r="I21" s="166" t="s">
        <v>119</v>
      </c>
      <c r="J21" s="166" t="s">
        <v>121</v>
      </c>
      <c r="K21" s="166" t="s">
        <v>113</v>
      </c>
      <c r="L21" s="167" t="s">
        <v>70</v>
      </c>
      <c r="M21" s="167" t="s">
        <v>92</v>
      </c>
      <c r="N21" s="167" t="s">
        <v>49</v>
      </c>
      <c r="O21" s="168" t="s">
        <v>93</v>
      </c>
      <c r="P21" s="168" t="s">
        <v>115</v>
      </c>
      <c r="Q21" s="168" t="s">
        <v>116</v>
      </c>
      <c r="R21" s="168" t="s">
        <v>124</v>
      </c>
      <c r="S21" s="168" t="s">
        <v>125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2:32" ht="15.75" thickTop="1">
      <c r="B22" s="67" t="s">
        <v>94</v>
      </c>
      <c r="C22" s="29">
        <v>118.5</v>
      </c>
      <c r="D22" s="81">
        <v>184</v>
      </c>
      <c r="E22" s="82">
        <v>177</v>
      </c>
      <c r="F22" s="82">
        <v>56.75</v>
      </c>
      <c r="G22" s="82">
        <v>190</v>
      </c>
      <c r="H22" s="81">
        <v>82</v>
      </c>
      <c r="I22" s="81"/>
      <c r="J22" s="81">
        <v>176.5</v>
      </c>
      <c r="K22" s="81">
        <v>431</v>
      </c>
      <c r="L22" s="78">
        <f>SUM(C22:K22)</f>
        <v>1415.75</v>
      </c>
      <c r="M22" s="29">
        <f>H22+J22+K22</f>
        <v>689.5</v>
      </c>
      <c r="N22" s="86">
        <f>'personas en el ITESZ Por año'!D9</f>
        <v>572</v>
      </c>
      <c r="O22" s="89">
        <f>M22/N22</f>
        <v>1.2054195804195804</v>
      </c>
      <c r="P22" s="275">
        <f>M34/N34</f>
        <v>1.501433882103027</v>
      </c>
      <c r="Q22" s="275">
        <f>L34/N34</f>
        <v>3.3253091571200972</v>
      </c>
      <c r="R22" s="275">
        <f>E39/N34</f>
        <v>1.82387527501707</v>
      </c>
      <c r="S22" s="275">
        <f>D39/N34</f>
        <v>1.501433882103027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2:32" ht="15">
      <c r="B23" s="71" t="s">
        <v>95</v>
      </c>
      <c r="C23" s="81">
        <v>243</v>
      </c>
      <c r="D23" s="81">
        <v>372</v>
      </c>
      <c r="E23" s="82">
        <v>257</v>
      </c>
      <c r="F23" s="82">
        <v>102</v>
      </c>
      <c r="G23" s="82">
        <v>236.5</v>
      </c>
      <c r="H23" s="81">
        <v>304.5</v>
      </c>
      <c r="I23" s="81"/>
      <c r="J23" s="81">
        <v>15.5</v>
      </c>
      <c r="K23" s="81">
        <v>201</v>
      </c>
      <c r="L23" s="78">
        <f aca="true" t="shared" si="4" ref="L23:L33">SUM(C23:K23)</f>
        <v>1731.5</v>
      </c>
      <c r="M23" s="29">
        <f aca="true" t="shared" si="5" ref="M23:M33">H23+J23+K23</f>
        <v>521</v>
      </c>
      <c r="N23" s="86">
        <f>'personas en el ITESZ Por año'!D10</f>
        <v>2229</v>
      </c>
      <c r="O23" s="89">
        <f aca="true" t="shared" si="6" ref="O23:O33">M23/N23</f>
        <v>0.23373710183938987</v>
      </c>
      <c r="P23" s="275"/>
      <c r="Q23" s="275"/>
      <c r="R23" s="275"/>
      <c r="S23" s="275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2:32" ht="15">
      <c r="B24" s="71" t="s">
        <v>96</v>
      </c>
      <c r="C24" s="81">
        <v>89.5</v>
      </c>
      <c r="D24" s="81">
        <v>203.5</v>
      </c>
      <c r="E24" s="82">
        <v>56</v>
      </c>
      <c r="F24" s="82">
        <v>70</v>
      </c>
      <c r="G24" s="82">
        <v>5.5</v>
      </c>
      <c r="H24" s="81">
        <v>214.3</v>
      </c>
      <c r="I24" s="81"/>
      <c r="J24" s="81">
        <v>16</v>
      </c>
      <c r="K24" s="81">
        <v>80.5</v>
      </c>
      <c r="L24" s="78">
        <f t="shared" si="4"/>
        <v>735.3</v>
      </c>
      <c r="M24" s="29">
        <f t="shared" si="5"/>
        <v>310.8</v>
      </c>
      <c r="N24" s="86">
        <f>'personas en el ITESZ Por año'!D11</f>
        <v>2229</v>
      </c>
      <c r="O24" s="89">
        <f t="shared" si="6"/>
        <v>0.13943472409152086</v>
      </c>
      <c r="P24" s="275"/>
      <c r="Q24" s="275"/>
      <c r="R24" s="275"/>
      <c r="S24" s="275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2:32" ht="15">
      <c r="B25" s="71" t="s">
        <v>97</v>
      </c>
      <c r="C25" s="81">
        <v>116</v>
      </c>
      <c r="D25" s="81">
        <v>212</v>
      </c>
      <c r="E25" s="82">
        <v>66.5</v>
      </c>
      <c r="F25" s="82">
        <v>58</v>
      </c>
      <c r="G25" s="82">
        <v>8</v>
      </c>
      <c r="H25" s="81">
        <v>161.5</v>
      </c>
      <c r="I25" s="81"/>
      <c r="J25" s="81">
        <v>45</v>
      </c>
      <c r="K25" s="81">
        <v>169.1</v>
      </c>
      <c r="L25" s="78">
        <f t="shared" si="4"/>
        <v>836.1</v>
      </c>
      <c r="M25" s="29">
        <f t="shared" si="5"/>
        <v>375.6</v>
      </c>
      <c r="N25" s="86">
        <f>'personas en el ITESZ Por año'!D12</f>
        <v>2229</v>
      </c>
      <c r="O25" s="89">
        <f t="shared" si="6"/>
        <v>0.16850605652759085</v>
      </c>
      <c r="P25" s="275"/>
      <c r="Q25" s="275"/>
      <c r="R25" s="275"/>
      <c r="S25" s="275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2:32" ht="15">
      <c r="B26" s="71" t="s">
        <v>98</v>
      </c>
      <c r="C26" s="83">
        <v>40.5</v>
      </c>
      <c r="D26" s="84">
        <v>132</v>
      </c>
      <c r="E26" s="85">
        <v>58.5</v>
      </c>
      <c r="F26" s="85">
        <v>41</v>
      </c>
      <c r="G26" s="85">
        <v>3</v>
      </c>
      <c r="H26" s="84">
        <v>133.5</v>
      </c>
      <c r="I26" s="84"/>
      <c r="J26" s="84">
        <v>35</v>
      </c>
      <c r="K26" s="84">
        <v>154</v>
      </c>
      <c r="L26" s="78">
        <f t="shared" si="4"/>
        <v>597.5</v>
      </c>
      <c r="M26" s="29">
        <f t="shared" si="5"/>
        <v>322.5</v>
      </c>
      <c r="N26" s="86">
        <f>'personas en el ITESZ Por año'!D13</f>
        <v>2229</v>
      </c>
      <c r="O26" s="89">
        <f t="shared" si="6"/>
        <v>0.14468371467025573</v>
      </c>
      <c r="P26" s="275"/>
      <c r="Q26" s="275"/>
      <c r="R26" s="275"/>
      <c r="S26" s="275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2:32" ht="15">
      <c r="B27" s="71" t="s">
        <v>99</v>
      </c>
      <c r="C27" s="72">
        <v>38</v>
      </c>
      <c r="D27" s="77">
        <v>115</v>
      </c>
      <c r="E27" s="29">
        <v>52</v>
      </c>
      <c r="F27" s="72">
        <v>38</v>
      </c>
      <c r="G27" s="29">
        <v>0</v>
      </c>
      <c r="H27" s="72">
        <v>151</v>
      </c>
      <c r="I27" s="72"/>
      <c r="J27" s="72">
        <v>36</v>
      </c>
      <c r="K27" s="72">
        <v>98</v>
      </c>
      <c r="L27" s="78">
        <f t="shared" si="4"/>
        <v>528</v>
      </c>
      <c r="M27" s="29">
        <f t="shared" si="5"/>
        <v>285</v>
      </c>
      <c r="N27" s="86">
        <f>'personas en el ITESZ Por año'!D14</f>
        <v>2229</v>
      </c>
      <c r="O27" s="89">
        <f t="shared" si="6"/>
        <v>0.1278600269179004</v>
      </c>
      <c r="P27" s="275"/>
      <c r="Q27" s="275"/>
      <c r="R27" s="275"/>
      <c r="S27" s="275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2:32" ht="15">
      <c r="B28" s="71" t="s">
        <v>100</v>
      </c>
      <c r="C28" s="72">
        <v>23</v>
      </c>
      <c r="D28" s="77">
        <v>103</v>
      </c>
      <c r="E28" s="29">
        <v>34</v>
      </c>
      <c r="F28" s="72">
        <v>8.5</v>
      </c>
      <c r="G28" s="29">
        <v>0</v>
      </c>
      <c r="H28" s="72">
        <v>56.5</v>
      </c>
      <c r="I28" s="72"/>
      <c r="J28" s="72">
        <v>16</v>
      </c>
      <c r="K28" s="79">
        <v>58</v>
      </c>
      <c r="L28" s="78">
        <f t="shared" si="4"/>
        <v>299</v>
      </c>
      <c r="M28" s="29">
        <f t="shared" si="5"/>
        <v>130.5</v>
      </c>
      <c r="N28" s="18">
        <f>'personas en el ITESZ Por año'!D15</f>
        <v>775</v>
      </c>
      <c r="O28" s="89">
        <f t="shared" si="6"/>
        <v>0.16838709677419356</v>
      </c>
      <c r="P28" s="275"/>
      <c r="Q28" s="275"/>
      <c r="R28" s="275"/>
      <c r="S28" s="275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2:32" ht="15">
      <c r="B29" s="71" t="s">
        <v>101</v>
      </c>
      <c r="C29" s="72">
        <v>16.5</v>
      </c>
      <c r="D29" s="77">
        <v>161</v>
      </c>
      <c r="E29" s="29">
        <v>51</v>
      </c>
      <c r="F29" s="72">
        <v>18</v>
      </c>
      <c r="G29" s="29">
        <v>0</v>
      </c>
      <c r="H29" s="72">
        <v>97</v>
      </c>
      <c r="I29" s="72"/>
      <c r="J29" s="72">
        <v>25.5</v>
      </c>
      <c r="K29" s="72">
        <v>254</v>
      </c>
      <c r="L29" s="78">
        <f t="shared" si="4"/>
        <v>623</v>
      </c>
      <c r="M29" s="29">
        <f t="shared" si="5"/>
        <v>376.5</v>
      </c>
      <c r="N29" s="86">
        <f>'personas en el ITESZ Por año'!D16</f>
        <v>2774</v>
      </c>
      <c r="O29" s="89">
        <f t="shared" si="6"/>
        <v>0.13572458543619323</v>
      </c>
      <c r="P29" s="275"/>
      <c r="Q29" s="275"/>
      <c r="R29" s="275"/>
      <c r="S29" s="275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19" s="21" customFormat="1" ht="15">
      <c r="A30" s="99"/>
      <c r="B30" s="95" t="s">
        <v>102</v>
      </c>
      <c r="C30" s="72">
        <v>28.5</v>
      </c>
      <c r="D30" s="77">
        <v>199.5</v>
      </c>
      <c r="E30" s="29">
        <v>0</v>
      </c>
      <c r="F30" s="72">
        <v>24</v>
      </c>
      <c r="G30" s="29">
        <v>0</v>
      </c>
      <c r="H30" s="72">
        <v>79</v>
      </c>
      <c r="I30" s="72"/>
      <c r="J30" s="72">
        <v>21</v>
      </c>
      <c r="K30" s="72">
        <v>187</v>
      </c>
      <c r="L30" s="78">
        <f t="shared" si="4"/>
        <v>539</v>
      </c>
      <c r="M30" s="29">
        <f t="shared" si="5"/>
        <v>287</v>
      </c>
      <c r="N30" s="86">
        <f>'personas en el ITESZ Por año'!D17</f>
        <v>2774</v>
      </c>
      <c r="O30" s="89">
        <f t="shared" si="6"/>
        <v>0.10346070656092285</v>
      </c>
      <c r="P30" s="275"/>
      <c r="Q30" s="275"/>
      <c r="R30" s="275"/>
      <c r="S30" s="275"/>
    </row>
    <row r="31" spans="1:19" s="21" customFormat="1" ht="15">
      <c r="A31" s="99"/>
      <c r="B31" s="95" t="s">
        <v>103</v>
      </c>
      <c r="C31" s="72"/>
      <c r="D31" s="77"/>
      <c r="E31" s="72"/>
      <c r="F31" s="72"/>
      <c r="G31" s="72"/>
      <c r="H31" s="72"/>
      <c r="I31" s="72"/>
      <c r="J31" s="72"/>
      <c r="K31" s="72"/>
      <c r="L31" s="78">
        <f t="shared" si="4"/>
        <v>0</v>
      </c>
      <c r="M31" s="29">
        <f t="shared" si="5"/>
        <v>0</v>
      </c>
      <c r="N31" s="86">
        <f>'personas en el ITESZ Por año'!D18</f>
        <v>2774</v>
      </c>
      <c r="O31" s="89">
        <f t="shared" si="6"/>
        <v>0</v>
      </c>
      <c r="P31" s="275"/>
      <c r="Q31" s="275"/>
      <c r="R31" s="275"/>
      <c r="S31" s="275"/>
    </row>
    <row r="32" spans="1:19" s="21" customFormat="1" ht="15">
      <c r="A32" s="99"/>
      <c r="B32" s="95" t="s">
        <v>104</v>
      </c>
      <c r="C32" s="72"/>
      <c r="D32" s="77"/>
      <c r="E32" s="72"/>
      <c r="F32" s="72"/>
      <c r="G32" s="72"/>
      <c r="H32" s="72"/>
      <c r="I32" s="72"/>
      <c r="J32" s="72"/>
      <c r="K32" s="72"/>
      <c r="L32" s="78">
        <f t="shared" si="4"/>
        <v>0</v>
      </c>
      <c r="M32" s="29">
        <f t="shared" si="5"/>
        <v>0</v>
      </c>
      <c r="N32" s="86">
        <f>'personas en el ITESZ Por año'!D19</f>
        <v>2774</v>
      </c>
      <c r="O32" s="89">
        <f t="shared" si="6"/>
        <v>0</v>
      </c>
      <c r="P32" s="275"/>
      <c r="Q32" s="275"/>
      <c r="R32" s="275"/>
      <c r="S32" s="275"/>
    </row>
    <row r="33" spans="1:19" s="21" customFormat="1" ht="15.75" thickBot="1">
      <c r="A33" s="99"/>
      <c r="B33" s="96" t="s">
        <v>105</v>
      </c>
      <c r="C33" s="72"/>
      <c r="D33" s="72"/>
      <c r="E33" s="72"/>
      <c r="F33" s="72"/>
      <c r="G33" s="72"/>
      <c r="H33" s="72"/>
      <c r="I33" s="72"/>
      <c r="J33" s="72"/>
      <c r="K33" s="72"/>
      <c r="L33" s="78">
        <f t="shared" si="4"/>
        <v>0</v>
      </c>
      <c r="M33" s="29">
        <f t="shared" si="5"/>
        <v>0</v>
      </c>
      <c r="N33" s="86">
        <f>'personas en el ITESZ Por año'!D20</f>
        <v>2774</v>
      </c>
      <c r="O33" s="89">
        <f t="shared" si="6"/>
        <v>0</v>
      </c>
      <c r="P33" s="275"/>
      <c r="Q33" s="275"/>
      <c r="R33" s="275"/>
      <c r="S33" s="275"/>
    </row>
    <row r="34" spans="1:19" s="21" customFormat="1" ht="15">
      <c r="A34" s="99"/>
      <c r="B34" s="97" t="s">
        <v>112</v>
      </c>
      <c r="C34" s="69">
        <f>SUM(C22:C33)</f>
        <v>713.5</v>
      </c>
      <c r="D34" s="69">
        <f aca="true" t="shared" si="7" ref="D34:M34">SUM(D22:D33)</f>
        <v>1682</v>
      </c>
      <c r="E34" s="69">
        <f t="shared" si="7"/>
        <v>752</v>
      </c>
      <c r="F34" s="69">
        <f t="shared" si="7"/>
        <v>416.25</v>
      </c>
      <c r="G34" s="69">
        <f t="shared" si="7"/>
        <v>443</v>
      </c>
      <c r="H34" s="69">
        <f t="shared" si="7"/>
        <v>1279.3</v>
      </c>
      <c r="I34" s="69">
        <f t="shared" si="7"/>
        <v>0</v>
      </c>
      <c r="J34" s="69">
        <f t="shared" si="7"/>
        <v>386.5</v>
      </c>
      <c r="K34" s="69">
        <f t="shared" si="7"/>
        <v>1632.6</v>
      </c>
      <c r="L34" s="29">
        <f t="shared" si="7"/>
        <v>7305.150000000001</v>
      </c>
      <c r="M34" s="90">
        <f t="shared" si="7"/>
        <v>3298.4</v>
      </c>
      <c r="N34" s="91">
        <f>AVERAGE(N22:N33)</f>
        <v>2196.8333333333335</v>
      </c>
      <c r="O34" s="92">
        <f>SUM(O22:O33)</f>
        <v>2.4272135932375476</v>
      </c>
      <c r="P34" s="275"/>
      <c r="Q34" s="275"/>
      <c r="R34" s="275"/>
      <c r="S34" s="275"/>
    </row>
    <row r="35" s="21" customFormat="1" ht="15">
      <c r="A35" s="98"/>
    </row>
    <row r="36" spans="2:32" ht="21">
      <c r="B36" s="276"/>
      <c r="C36" s="276"/>
      <c r="D36" s="276"/>
      <c r="E36" s="276"/>
      <c r="F36" s="276"/>
      <c r="G36" s="21"/>
      <c r="H36" s="21"/>
      <c r="I36" s="21"/>
      <c r="J36" s="21"/>
      <c r="K36" s="108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2:32" ht="15.75" customHeight="1">
      <c r="B37" s="58" t="s">
        <v>46</v>
      </c>
      <c r="C37" s="169" t="s">
        <v>109</v>
      </c>
      <c r="D37" s="169" t="s">
        <v>122</v>
      </c>
      <c r="E37" s="169" t="s">
        <v>123</v>
      </c>
      <c r="F37" s="169" t="s">
        <v>110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2:32" ht="15">
      <c r="B38" s="18">
        <v>2015</v>
      </c>
      <c r="C38" s="87">
        <f>L17</f>
        <v>17915.2</v>
      </c>
      <c r="D38" s="51">
        <f>M17</f>
        <v>7796.4</v>
      </c>
      <c r="E38" s="18">
        <f>+C17+D17+E17+F17+G17+I17</f>
        <v>10118.8</v>
      </c>
      <c r="F38" s="44">
        <f>E38/C38</f>
        <v>0.5648164686969723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2:32" ht="15">
      <c r="B39" s="18">
        <v>2016</v>
      </c>
      <c r="C39" s="51">
        <f>L34</f>
        <v>7305.150000000001</v>
      </c>
      <c r="D39" s="51">
        <f>M34</f>
        <v>3298.4</v>
      </c>
      <c r="E39" s="18">
        <f>+C34+D34+E34+F34+G34+I34</f>
        <v>4006.75</v>
      </c>
      <c r="F39" s="44">
        <f>E39/C39</f>
        <v>0.548482919584129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2:32" ht="15">
      <c r="B40" s="19" t="s">
        <v>111</v>
      </c>
      <c r="C40" s="19">
        <f>SUM(C38:C39)</f>
        <v>25220.350000000002</v>
      </c>
      <c r="D40" s="19">
        <f>SUM(D38:D39)</f>
        <v>11094.8</v>
      </c>
      <c r="E40" s="19">
        <f>SUM(E38:E39)</f>
        <v>14125.55</v>
      </c>
      <c r="F40" s="44">
        <f>E40/C40</f>
        <v>0.5600854072207562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5:32" ht="15">
      <c r="E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2:35" ht="15">
      <c r="B42" s="62" t="s">
        <v>145</v>
      </c>
      <c r="C42" s="62" t="s">
        <v>80</v>
      </c>
      <c r="D42" s="62" t="s">
        <v>81</v>
      </c>
      <c r="E42" s="21"/>
      <c r="F42" s="62" t="s">
        <v>151</v>
      </c>
      <c r="G42" s="62" t="s">
        <v>80</v>
      </c>
      <c r="H42" s="62" t="s">
        <v>81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 ht="15">
      <c r="B43" s="57" t="s">
        <v>72</v>
      </c>
      <c r="C43" s="56">
        <f>+M5+M6+M7</f>
        <v>1558.4</v>
      </c>
      <c r="D43" s="53">
        <f>+M22+M23+M24</f>
        <v>1521.3</v>
      </c>
      <c r="E43" s="21"/>
      <c r="F43" s="57" t="s">
        <v>72</v>
      </c>
      <c r="G43" s="56">
        <f>+O5+O6+O7</f>
        <v>1.3988681091165562</v>
      </c>
      <c r="H43" s="53">
        <f>+O22+O23+O24</f>
        <v>1.578591406350491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2:35" ht="15">
      <c r="B44" s="57" t="s">
        <v>73</v>
      </c>
      <c r="C44" s="52">
        <f>+M8+M9+M10</f>
        <v>1924</v>
      </c>
      <c r="D44" s="53">
        <f>+M25+M26+M27</f>
        <v>983.1</v>
      </c>
      <c r="E44" s="21"/>
      <c r="F44" s="57" t="s">
        <v>73</v>
      </c>
      <c r="G44" s="52">
        <f>+O8+O9+O10</f>
        <v>1.0068027210884354</v>
      </c>
      <c r="H44" s="53">
        <f>+O25+O26+O27</f>
        <v>0.44104979811574696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2:35" ht="15">
      <c r="B45" s="57" t="s">
        <v>74</v>
      </c>
      <c r="C45" s="52">
        <f>+M11+M12+M13</f>
        <v>1848</v>
      </c>
      <c r="D45" s="53">
        <f>+M28+M29+M30</f>
        <v>794</v>
      </c>
      <c r="E45" s="21"/>
      <c r="F45" s="57" t="s">
        <v>74</v>
      </c>
      <c r="G45" s="52">
        <f>+O11+O12+O13</f>
        <v>1.6027122118794328</v>
      </c>
      <c r="H45" s="53">
        <f>+O28+O29+O30</f>
        <v>0.40757238877130963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2:35" ht="15">
      <c r="B46" s="57" t="s">
        <v>75</v>
      </c>
      <c r="C46" s="52">
        <f>+M14+M15+M16</f>
        <v>2466</v>
      </c>
      <c r="D46" s="54">
        <f>+M31+M32+M33</f>
        <v>0</v>
      </c>
      <c r="E46" s="21"/>
      <c r="F46" s="57" t="s">
        <v>75</v>
      </c>
      <c r="G46" s="52">
        <f>+O14+O15+O16</f>
        <v>0.96328125</v>
      </c>
      <c r="H46" s="54">
        <f>+O31+O32+O33</f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2:32" ht="15">
      <c r="B47" s="18" t="s">
        <v>70</v>
      </c>
      <c r="C47" s="132">
        <f>SUM(C43:C46)</f>
        <v>7796.4</v>
      </c>
      <c r="D47" s="133">
        <f>SUM(D43:D46)</f>
        <v>3298.4</v>
      </c>
      <c r="E47" s="21"/>
      <c r="F47" s="18" t="s">
        <v>70</v>
      </c>
      <c r="G47" s="132">
        <f>SUM(G43:G46)</f>
        <v>4.971664292084424</v>
      </c>
      <c r="H47" s="133">
        <f>SUM(H43:H46)</f>
        <v>2.427213593237548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</sheetData>
  <sheetProtection/>
  <mergeCells count="13">
    <mergeCell ref="B3:Q3"/>
    <mergeCell ref="B2:S2"/>
    <mergeCell ref="B20:Q20"/>
    <mergeCell ref="P22:P34"/>
    <mergeCell ref="Q22:Q34"/>
    <mergeCell ref="B36:F36"/>
    <mergeCell ref="R5:R17"/>
    <mergeCell ref="S5:S17"/>
    <mergeCell ref="R22:R34"/>
    <mergeCell ref="S22:S34"/>
    <mergeCell ref="B19:S19"/>
    <mergeCell ref="P5:P17"/>
    <mergeCell ref="Q5:Q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8"/>
  <sheetViews>
    <sheetView zoomScalePageLayoutView="0" workbookViewId="0" topLeftCell="A1">
      <selection activeCell="F13" sqref="F13:F15"/>
    </sheetView>
  </sheetViews>
  <sheetFormatPr defaultColWidth="11.421875" defaultRowHeight="15"/>
  <cols>
    <col min="1" max="1" width="5.57421875" style="33" customWidth="1"/>
    <col min="2" max="2" width="29.421875" style="33" customWidth="1"/>
    <col min="3" max="4" width="19.421875" style="33" bestFit="1" customWidth="1"/>
    <col min="5" max="5" width="19.140625" style="33" bestFit="1" customWidth="1"/>
    <col min="6" max="6" width="19.421875" style="33" bestFit="1" customWidth="1"/>
    <col min="7" max="7" width="17.140625" style="33" customWidth="1"/>
    <col min="8" max="8" width="19.140625" style="33" bestFit="1" customWidth="1"/>
    <col min="9" max="9" width="15.140625" style="75" bestFit="1" customWidth="1"/>
    <col min="10" max="10" width="5.57421875" style="21" hidden="1" customWidth="1"/>
    <col min="11" max="11" width="2.421875" style="21" hidden="1" customWidth="1"/>
    <col min="12" max="12" width="12.57421875" style="21" hidden="1" customWidth="1"/>
    <col min="13" max="13" width="5.421875" style="21" hidden="1" customWidth="1"/>
    <col min="14" max="15" width="8.421875" style="21" hidden="1" customWidth="1"/>
    <col min="16" max="16" width="0" style="21" hidden="1" customWidth="1"/>
    <col min="17" max="17" width="20.00390625" style="21" hidden="1" customWidth="1"/>
    <col min="18" max="18" width="18.140625" style="21" hidden="1" customWidth="1"/>
    <col min="19" max="19" width="16.7109375" style="21" hidden="1" customWidth="1"/>
    <col min="20" max="20" width="16.140625" style="21" hidden="1" customWidth="1"/>
    <col min="21" max="21" width="24.7109375" style="21" hidden="1" customWidth="1"/>
    <col min="22" max="22" width="22.140625" style="21" hidden="1" customWidth="1"/>
    <col min="23" max="26" width="0" style="21" hidden="1" customWidth="1"/>
    <col min="27" max="51" width="11.421875" style="21" customWidth="1"/>
  </cols>
  <sheetData>
    <row r="1" spans="1:8" ht="37.5" customHeight="1">
      <c r="A1" s="21"/>
      <c r="B1" s="286" t="s">
        <v>134</v>
      </c>
      <c r="C1" s="286"/>
      <c r="D1" s="286"/>
      <c r="E1" s="286"/>
      <c r="F1" s="286"/>
      <c r="G1" s="286"/>
      <c r="H1" s="286"/>
    </row>
    <row r="2" spans="1:9" ht="24" thickBot="1">
      <c r="A2" s="21"/>
      <c r="B2" s="174" t="s">
        <v>46</v>
      </c>
      <c r="C2" s="287">
        <v>2015</v>
      </c>
      <c r="D2" s="288"/>
      <c r="E2" s="289"/>
      <c r="F2" s="287">
        <v>2016</v>
      </c>
      <c r="G2" s="288"/>
      <c r="H2" s="289"/>
      <c r="I2" s="21"/>
    </row>
    <row r="3" spans="1:9" ht="37.5">
      <c r="A3" s="21"/>
      <c r="B3" s="170" t="s">
        <v>47</v>
      </c>
      <c r="C3" s="171" t="s">
        <v>126</v>
      </c>
      <c r="D3" s="172" t="s">
        <v>49</v>
      </c>
      <c r="E3" s="173" t="s">
        <v>106</v>
      </c>
      <c r="F3" s="171" t="s">
        <v>126</v>
      </c>
      <c r="G3" s="172" t="s">
        <v>49</v>
      </c>
      <c r="H3" s="173" t="s">
        <v>106</v>
      </c>
      <c r="I3" s="21"/>
    </row>
    <row r="4" spans="1:9" ht="23.25">
      <c r="A4" s="21"/>
      <c r="B4" s="134" t="s">
        <v>52</v>
      </c>
      <c r="C4" s="196">
        <v>111</v>
      </c>
      <c r="D4" s="102">
        <f>155+27</f>
        <v>182</v>
      </c>
      <c r="E4" s="105">
        <f>C4/D4</f>
        <v>0.6098901098901099</v>
      </c>
      <c r="F4" s="192">
        <v>229.27</v>
      </c>
      <c r="G4" s="193">
        <v>203</v>
      </c>
      <c r="H4" s="105">
        <f>F4/G4</f>
        <v>1.129408866995074</v>
      </c>
      <c r="I4" s="21"/>
    </row>
    <row r="5" spans="1:9" ht="23.25">
      <c r="A5" s="21"/>
      <c r="B5" s="134" t="s">
        <v>53</v>
      </c>
      <c r="C5" s="196">
        <v>154</v>
      </c>
      <c r="D5" s="102">
        <f aca="true" t="shared" si="0" ref="D5:D15">155+27</f>
        <v>182</v>
      </c>
      <c r="E5" s="105">
        <f aca="true" t="shared" si="1" ref="E5:E15">C5/D5</f>
        <v>0.8461538461538461</v>
      </c>
      <c r="F5" s="192">
        <v>22.7</v>
      </c>
      <c r="G5" s="193">
        <v>203</v>
      </c>
      <c r="H5" s="105">
        <f aca="true" t="shared" si="2" ref="H5:H15">F5/G5</f>
        <v>0.11182266009852217</v>
      </c>
      <c r="I5" s="21"/>
    </row>
    <row r="6" spans="1:9" ht="23.25">
      <c r="A6" s="21"/>
      <c r="B6" s="134" t="s">
        <v>54</v>
      </c>
      <c r="C6" s="196">
        <v>320</v>
      </c>
      <c r="D6" s="102">
        <f t="shared" si="0"/>
        <v>182</v>
      </c>
      <c r="E6" s="105">
        <f t="shared" si="1"/>
        <v>1.7582417582417582</v>
      </c>
      <c r="F6" s="192">
        <v>249.7</v>
      </c>
      <c r="G6" s="193">
        <v>203</v>
      </c>
      <c r="H6" s="105">
        <f t="shared" si="2"/>
        <v>1.2300492610837437</v>
      </c>
      <c r="I6" s="21"/>
    </row>
    <row r="7" spans="1:9" ht="23.25">
      <c r="A7" s="21"/>
      <c r="B7" s="134" t="s">
        <v>55</v>
      </c>
      <c r="C7" s="196">
        <v>66</v>
      </c>
      <c r="D7" s="102">
        <f t="shared" si="0"/>
        <v>182</v>
      </c>
      <c r="E7" s="105">
        <f t="shared" si="1"/>
        <v>0.3626373626373626</v>
      </c>
      <c r="F7" s="192">
        <v>249.7</v>
      </c>
      <c r="G7" s="193">
        <v>203</v>
      </c>
      <c r="H7" s="105">
        <f t="shared" si="2"/>
        <v>1.2300492610837437</v>
      </c>
      <c r="I7" s="21"/>
    </row>
    <row r="8" spans="1:9" ht="23.25">
      <c r="A8" s="21"/>
      <c r="B8" s="134" t="s">
        <v>56</v>
      </c>
      <c r="C8" s="196">
        <v>65</v>
      </c>
      <c r="D8" s="102">
        <f t="shared" si="0"/>
        <v>182</v>
      </c>
      <c r="E8" s="105">
        <f t="shared" si="1"/>
        <v>0.35714285714285715</v>
      </c>
      <c r="F8" s="192">
        <v>363.2</v>
      </c>
      <c r="G8" s="193">
        <v>203</v>
      </c>
      <c r="H8" s="105">
        <f t="shared" si="2"/>
        <v>1.7891625615763547</v>
      </c>
      <c r="I8" s="21"/>
    </row>
    <row r="9" spans="1:9" ht="23.25">
      <c r="A9" s="21"/>
      <c r="B9" s="134" t="s">
        <v>57</v>
      </c>
      <c r="C9" s="196">
        <v>43</v>
      </c>
      <c r="D9" s="102">
        <f t="shared" si="0"/>
        <v>182</v>
      </c>
      <c r="E9" s="105">
        <f t="shared" si="1"/>
        <v>0.23626373626373626</v>
      </c>
      <c r="F9" s="192">
        <v>113.5</v>
      </c>
      <c r="G9" s="193">
        <v>203</v>
      </c>
      <c r="H9" s="105">
        <f t="shared" si="2"/>
        <v>0.5591133004926109</v>
      </c>
      <c r="I9" s="21"/>
    </row>
    <row r="10" spans="1:9" ht="23.25">
      <c r="A10" s="21"/>
      <c r="B10" s="134" t="s">
        <v>62</v>
      </c>
      <c r="C10" s="195">
        <v>37</v>
      </c>
      <c r="D10" s="102">
        <f t="shared" si="0"/>
        <v>182</v>
      </c>
      <c r="E10" s="105">
        <f t="shared" si="1"/>
        <v>0.2032967032967033</v>
      </c>
      <c r="F10" s="192">
        <v>0</v>
      </c>
      <c r="G10" s="193">
        <v>203</v>
      </c>
      <c r="H10" s="105">
        <f t="shared" si="2"/>
        <v>0</v>
      </c>
      <c r="I10" s="21"/>
    </row>
    <row r="11" spans="1:9" ht="23.25">
      <c r="A11" s="21"/>
      <c r="B11" s="134" t="s">
        <v>65</v>
      </c>
      <c r="C11" s="196">
        <v>154</v>
      </c>
      <c r="D11" s="102">
        <f t="shared" si="0"/>
        <v>182</v>
      </c>
      <c r="E11" s="105">
        <f t="shared" si="1"/>
        <v>0.8461538461538461</v>
      </c>
      <c r="F11" s="192">
        <v>345.04</v>
      </c>
      <c r="G11" s="194">
        <v>203</v>
      </c>
      <c r="H11" s="105">
        <f t="shared" si="2"/>
        <v>1.699704433497537</v>
      </c>
      <c r="I11" s="21"/>
    </row>
    <row r="12" spans="1:9" ht="23.25">
      <c r="A12" s="21"/>
      <c r="B12" s="134" t="s">
        <v>66</v>
      </c>
      <c r="C12" s="196">
        <v>50</v>
      </c>
      <c r="D12" s="102">
        <f t="shared" si="0"/>
        <v>182</v>
      </c>
      <c r="E12" s="105">
        <f t="shared" si="1"/>
        <v>0.27472527472527475</v>
      </c>
      <c r="F12" s="192">
        <v>108.96000000000001</v>
      </c>
      <c r="G12" s="194">
        <v>203</v>
      </c>
      <c r="H12" s="105">
        <f t="shared" si="2"/>
        <v>0.5367487684729064</v>
      </c>
      <c r="I12" s="21"/>
    </row>
    <row r="13" spans="1:9" ht="23.25">
      <c r="A13" s="21"/>
      <c r="B13" s="134" t="s">
        <v>67</v>
      </c>
      <c r="C13" s="196">
        <v>50</v>
      </c>
      <c r="D13" s="102">
        <f t="shared" si="0"/>
        <v>182</v>
      </c>
      <c r="E13" s="105">
        <f t="shared" si="1"/>
        <v>0.27472527472527475</v>
      </c>
      <c r="F13" s="135"/>
      <c r="G13" s="104">
        <v>203</v>
      </c>
      <c r="H13" s="105">
        <f t="shared" si="2"/>
        <v>0</v>
      </c>
      <c r="I13" s="21"/>
    </row>
    <row r="14" spans="1:9" ht="23.25">
      <c r="A14" s="21"/>
      <c r="B14" s="134" t="s">
        <v>68</v>
      </c>
      <c r="C14" s="196">
        <v>60</v>
      </c>
      <c r="D14" s="102">
        <f t="shared" si="0"/>
        <v>182</v>
      </c>
      <c r="E14" s="105">
        <f t="shared" si="1"/>
        <v>0.32967032967032966</v>
      </c>
      <c r="F14" s="135"/>
      <c r="G14" s="104">
        <v>203</v>
      </c>
      <c r="H14" s="105">
        <f t="shared" si="2"/>
        <v>0</v>
      </c>
      <c r="I14" s="21"/>
    </row>
    <row r="15" spans="1:9" ht="23.25">
      <c r="A15" s="21"/>
      <c r="B15" s="134" t="s">
        <v>69</v>
      </c>
      <c r="C15" s="196">
        <v>0</v>
      </c>
      <c r="D15" s="102">
        <f t="shared" si="0"/>
        <v>182</v>
      </c>
      <c r="E15" s="105">
        <f t="shared" si="1"/>
        <v>0</v>
      </c>
      <c r="F15" s="135"/>
      <c r="G15" s="104">
        <v>203</v>
      </c>
      <c r="H15" s="105">
        <f t="shared" si="2"/>
        <v>0</v>
      </c>
      <c r="I15" s="21"/>
    </row>
    <row r="16" spans="1:9" ht="23.25">
      <c r="A16" s="21"/>
      <c r="B16" s="140" t="s">
        <v>70</v>
      </c>
      <c r="C16" s="136">
        <f>SUM(C4:C15)</f>
        <v>1110</v>
      </c>
      <c r="D16" s="104">
        <f>AVERAGE(D4:D15)</f>
        <v>182</v>
      </c>
      <c r="E16" s="105">
        <f>SUM(E4:E15)</f>
        <v>6.0989010989010985</v>
      </c>
      <c r="F16" s="137">
        <f>SUM(F4:F15)</f>
        <v>1682.07</v>
      </c>
      <c r="G16" s="104">
        <f>AVERAGE(G4:G15)</f>
        <v>203</v>
      </c>
      <c r="H16" s="105">
        <f>SUM(H4:H15)</f>
        <v>8.286059113300492</v>
      </c>
      <c r="I16" s="21"/>
    </row>
    <row r="17" spans="1:9" ht="23.25">
      <c r="A17" s="21"/>
      <c r="B17" s="140" t="s">
        <v>127</v>
      </c>
      <c r="C17" s="284">
        <f>C16/D16</f>
        <v>6.0989010989010985</v>
      </c>
      <c r="D17" s="284"/>
      <c r="E17" s="105"/>
      <c r="F17" s="105">
        <f>F16/G16</f>
        <v>8.286059113300492</v>
      </c>
      <c r="G17" s="105"/>
      <c r="H17" s="105"/>
      <c r="I17" s="21"/>
    </row>
    <row r="18" spans="1:9" ht="23.25">
      <c r="A18" s="21"/>
      <c r="B18" s="140" t="s">
        <v>128</v>
      </c>
      <c r="C18" s="285"/>
      <c r="D18" s="285"/>
      <c r="E18" s="138"/>
      <c r="F18" s="139">
        <f>(F17-C17)/F17</f>
        <v>0.2639563614612216</v>
      </c>
      <c r="G18" s="138"/>
      <c r="H18" s="138"/>
      <c r="I18" s="21"/>
    </row>
    <row r="19" spans="1:9" s="21" customFormat="1" ht="21">
      <c r="A19" s="108"/>
      <c r="B19" s="108"/>
      <c r="C19" s="108"/>
      <c r="D19" s="108"/>
      <c r="E19" s="108"/>
      <c r="F19" s="108"/>
      <c r="G19" s="108"/>
      <c r="H19" s="108"/>
      <c r="I19" s="75"/>
    </row>
    <row r="20" spans="1:9" s="21" customFormat="1" ht="21">
      <c r="A20" s="108"/>
      <c r="B20" s="108"/>
      <c r="C20" s="130"/>
      <c r="D20" s="130"/>
      <c r="E20" s="130"/>
      <c r="F20" s="130"/>
      <c r="G20" s="130"/>
      <c r="H20" s="130"/>
      <c r="I20" s="75"/>
    </row>
    <row r="21" spans="1:9" s="21" customFormat="1" ht="21">
      <c r="A21" s="108"/>
      <c r="B21" s="62" t="s">
        <v>163</v>
      </c>
      <c r="C21" s="62" t="s">
        <v>80</v>
      </c>
      <c r="D21" s="62" t="s">
        <v>81</v>
      </c>
      <c r="E21" s="131"/>
      <c r="F21" s="62" t="s">
        <v>79</v>
      </c>
      <c r="G21" s="62" t="s">
        <v>80</v>
      </c>
      <c r="H21" s="62" t="s">
        <v>81</v>
      </c>
      <c r="I21" s="75"/>
    </row>
    <row r="22" spans="1:9" s="21" customFormat="1" ht="21">
      <c r="A22" s="108"/>
      <c r="B22" s="57" t="s">
        <v>72</v>
      </c>
      <c r="C22" s="52">
        <f>+C4+C5+C6</f>
        <v>585</v>
      </c>
      <c r="D22" s="53">
        <f>+F4+F5+F6</f>
        <v>501.66999999999996</v>
      </c>
      <c r="E22" s="131"/>
      <c r="F22" s="57" t="s">
        <v>72</v>
      </c>
      <c r="G22" s="52">
        <f>+E4+E5+E6</f>
        <v>3.2142857142857144</v>
      </c>
      <c r="H22" s="53">
        <f>+H4+H5+H6</f>
        <v>2.4712807881773395</v>
      </c>
      <c r="I22" s="75"/>
    </row>
    <row r="23" spans="1:9" s="21" customFormat="1" ht="21">
      <c r="A23" s="108"/>
      <c r="B23" s="57" t="s">
        <v>73</v>
      </c>
      <c r="C23" s="52">
        <f>+C7+C8+C9</f>
        <v>174</v>
      </c>
      <c r="D23" s="53">
        <f>+F7+F8+F9</f>
        <v>726.4</v>
      </c>
      <c r="E23" s="131"/>
      <c r="F23" s="57" t="s">
        <v>73</v>
      </c>
      <c r="G23" s="52">
        <f>+E7+E8+E9</f>
        <v>0.956043956043956</v>
      </c>
      <c r="H23" s="53">
        <f>+H7+H8+H9</f>
        <v>3.5783251231527093</v>
      </c>
      <c r="I23" s="75"/>
    </row>
    <row r="24" spans="1:9" s="21" customFormat="1" ht="21">
      <c r="A24" s="108"/>
      <c r="B24" s="57" t="s">
        <v>74</v>
      </c>
      <c r="C24" s="52">
        <f>+C10+C11+C12</f>
        <v>241</v>
      </c>
      <c r="D24" s="53">
        <f>+F10+F11+F12</f>
        <v>454</v>
      </c>
      <c r="E24" s="131"/>
      <c r="F24" s="57" t="s">
        <v>74</v>
      </c>
      <c r="G24" s="52">
        <f>+E10+E11+E12</f>
        <v>1.3241758241758244</v>
      </c>
      <c r="H24" s="53">
        <f>+H10+H11+H12</f>
        <v>2.2364532019704435</v>
      </c>
      <c r="I24" s="75"/>
    </row>
    <row r="25" spans="1:9" s="21" customFormat="1" ht="21">
      <c r="A25" s="108"/>
      <c r="B25" s="57" t="s">
        <v>75</v>
      </c>
      <c r="C25" s="52">
        <f>+C13+C14+C15</f>
        <v>110</v>
      </c>
      <c r="D25" s="54">
        <f>+F13+F14+F15</f>
        <v>0</v>
      </c>
      <c r="E25" s="131"/>
      <c r="F25" s="57" t="s">
        <v>75</v>
      </c>
      <c r="G25" s="52">
        <f>+E13+E14+E15</f>
        <v>0.6043956043956045</v>
      </c>
      <c r="H25" s="54">
        <f>+H13+H14+H15</f>
        <v>0</v>
      </c>
      <c r="I25" s="75"/>
    </row>
    <row r="26" spans="1:8" ht="21">
      <c r="A26" s="109"/>
      <c r="B26" s="18" t="s">
        <v>70</v>
      </c>
      <c r="C26" s="132">
        <f>SUM(C22:C25)</f>
        <v>1110</v>
      </c>
      <c r="D26" s="132">
        <f>SUM(D22:D25)</f>
        <v>1682.07</v>
      </c>
      <c r="E26" s="109"/>
      <c r="F26" s="18" t="s">
        <v>70</v>
      </c>
      <c r="G26" s="55">
        <f>SUM(G22:G25)</f>
        <v>6.0989010989010985</v>
      </c>
      <c r="H26" s="55">
        <f>SUM(H22:H25)</f>
        <v>8.286059113300492</v>
      </c>
    </row>
    <row r="27" s="21" customFormat="1" ht="15">
      <c r="I27" s="75"/>
    </row>
    <row r="28" s="21" customFormat="1" ht="15">
      <c r="I28" s="75"/>
    </row>
    <row r="29" spans="9:22" s="21" customFormat="1" ht="15.75">
      <c r="I29" s="75"/>
      <c r="Q29" s="110"/>
      <c r="R29" s="281" t="s">
        <v>129</v>
      </c>
      <c r="S29" s="281"/>
      <c r="T29" s="111"/>
      <c r="U29" s="111"/>
      <c r="V29" s="111"/>
    </row>
    <row r="30" spans="9:22" s="21" customFormat="1" ht="15.75" thickBot="1">
      <c r="I30" s="75"/>
      <c r="Q30" s="110"/>
      <c r="R30" s="112"/>
      <c r="S30" s="112"/>
      <c r="T30" s="111"/>
      <c r="U30" s="111"/>
      <c r="V30" s="111"/>
    </row>
    <row r="31" spans="9:22" s="21" customFormat="1" ht="27" thickBot="1">
      <c r="I31" s="75"/>
      <c r="Q31" s="113" t="s">
        <v>107</v>
      </c>
      <c r="R31" s="114" t="s">
        <v>58</v>
      </c>
      <c r="S31" s="114" t="s">
        <v>59</v>
      </c>
      <c r="T31" s="282" t="s">
        <v>60</v>
      </c>
      <c r="U31" s="283"/>
      <c r="V31" s="115" t="s">
        <v>61</v>
      </c>
    </row>
    <row r="32" spans="9:22" s="21" customFormat="1" ht="26.25">
      <c r="I32" s="75"/>
      <c r="P32" s="43">
        <v>2015</v>
      </c>
      <c r="Q32" s="116" t="s">
        <v>130</v>
      </c>
      <c r="R32" s="117">
        <f>C16</f>
        <v>1110</v>
      </c>
      <c r="S32" s="118" t="s">
        <v>108</v>
      </c>
      <c r="T32" s="119">
        <v>3</v>
      </c>
      <c r="U32" s="120" t="s">
        <v>131</v>
      </c>
      <c r="V32" s="121">
        <f>R32*T32</f>
        <v>3330</v>
      </c>
    </row>
    <row r="33" spans="9:22" s="21" customFormat="1" ht="27" thickBot="1">
      <c r="I33" s="75"/>
      <c r="P33" s="43">
        <v>2015</v>
      </c>
      <c r="Q33" s="122" t="s">
        <v>132</v>
      </c>
      <c r="R33" s="123">
        <v>0</v>
      </c>
      <c r="S33" s="124" t="s">
        <v>108</v>
      </c>
      <c r="T33" s="125">
        <v>1.8</v>
      </c>
      <c r="U33" s="126" t="s">
        <v>133</v>
      </c>
      <c r="V33" s="127">
        <f>R33*T33</f>
        <v>0</v>
      </c>
    </row>
    <row r="34" spans="9:22" s="21" customFormat="1" ht="26.25">
      <c r="I34" s="75"/>
      <c r="P34" s="43">
        <v>2016</v>
      </c>
      <c r="Q34" s="116" t="s">
        <v>130</v>
      </c>
      <c r="R34" s="128">
        <f>F16</f>
        <v>1682.07</v>
      </c>
      <c r="S34" s="118" t="s">
        <v>108</v>
      </c>
      <c r="T34" s="119">
        <v>3</v>
      </c>
      <c r="U34" s="120" t="s">
        <v>131</v>
      </c>
      <c r="V34" s="121">
        <f>R34*T34</f>
        <v>5046.21</v>
      </c>
    </row>
    <row r="35" spans="9:22" s="21" customFormat="1" ht="26.25">
      <c r="I35" s="75"/>
      <c r="P35" s="43">
        <v>2016</v>
      </c>
      <c r="Q35" s="122" t="s">
        <v>132</v>
      </c>
      <c r="R35" s="123">
        <v>1240</v>
      </c>
      <c r="S35" s="124" t="s">
        <v>108</v>
      </c>
      <c r="T35" s="125">
        <v>1.8</v>
      </c>
      <c r="U35" s="126" t="s">
        <v>133</v>
      </c>
      <c r="V35" s="127">
        <f>R35*T35</f>
        <v>2232</v>
      </c>
    </row>
    <row r="36" s="21" customFormat="1" ht="15">
      <c r="I36" s="75"/>
    </row>
    <row r="37" s="21" customFormat="1" ht="15">
      <c r="I37" s="75"/>
    </row>
    <row r="38" s="21" customFormat="1" ht="15">
      <c r="I38" s="75"/>
    </row>
    <row r="39" s="21" customFormat="1" ht="15">
      <c r="I39" s="75"/>
    </row>
    <row r="40" s="21" customFormat="1" ht="15">
      <c r="I40" s="75"/>
    </row>
    <row r="41" s="21" customFormat="1" ht="15">
      <c r="I41" s="75"/>
    </row>
    <row r="42" s="21" customFormat="1" ht="15">
      <c r="I42" s="75"/>
    </row>
    <row r="43" s="21" customFormat="1" ht="15">
      <c r="I43" s="75"/>
    </row>
    <row r="44" s="21" customFormat="1" ht="15">
      <c r="I44" s="75"/>
    </row>
    <row r="45" s="21" customFormat="1" ht="15">
      <c r="I45" s="75"/>
    </row>
    <row r="46" s="21" customFormat="1" ht="15">
      <c r="I46" s="75"/>
    </row>
    <row r="47" s="21" customFormat="1" ht="15">
      <c r="I47" s="75"/>
    </row>
    <row r="48" s="21" customFormat="1" ht="15">
      <c r="I48" s="75"/>
    </row>
    <row r="49" s="21" customFormat="1" ht="15">
      <c r="I49" s="75"/>
    </row>
    <row r="50" s="21" customFormat="1" ht="15">
      <c r="I50" s="75"/>
    </row>
    <row r="51" s="21" customFormat="1" ht="15">
      <c r="I51" s="75"/>
    </row>
    <row r="52" spans="9:16" s="21" customFormat="1" ht="15">
      <c r="I52" s="75"/>
      <c r="P52" s="129"/>
    </row>
    <row r="53" s="21" customFormat="1" ht="15">
      <c r="I53" s="75"/>
    </row>
    <row r="54" s="21" customFormat="1" ht="15">
      <c r="I54" s="75"/>
    </row>
    <row r="55" s="21" customFormat="1" ht="15">
      <c r="I55" s="75"/>
    </row>
    <row r="56" s="21" customFormat="1" ht="15">
      <c r="I56" s="75"/>
    </row>
    <row r="57" s="21" customFormat="1" ht="15">
      <c r="I57" s="75"/>
    </row>
    <row r="58" s="21" customFormat="1" ht="15">
      <c r="I58" s="75"/>
    </row>
    <row r="59" s="21" customFormat="1" ht="15">
      <c r="I59" s="75"/>
    </row>
    <row r="60" s="21" customFormat="1" ht="15">
      <c r="I60" s="75"/>
    </row>
    <row r="61" s="21" customFormat="1" ht="15">
      <c r="I61" s="75"/>
    </row>
    <row r="62" s="21" customFormat="1" ht="15">
      <c r="I62" s="75"/>
    </row>
    <row r="63" s="21" customFormat="1" ht="15">
      <c r="I63" s="75"/>
    </row>
    <row r="64" s="21" customFormat="1" ht="15">
      <c r="I64" s="75"/>
    </row>
    <row r="65" s="21" customFormat="1" ht="15">
      <c r="I65" s="75"/>
    </row>
    <row r="66" s="21" customFormat="1" ht="15">
      <c r="I66" s="75"/>
    </row>
    <row r="67" s="21" customFormat="1" ht="15">
      <c r="I67" s="75"/>
    </row>
    <row r="68" s="21" customFormat="1" ht="15">
      <c r="I68" s="75"/>
    </row>
    <row r="69" s="21" customFormat="1" ht="15">
      <c r="I69" s="75"/>
    </row>
    <row r="70" s="21" customFormat="1" ht="15">
      <c r="I70" s="75"/>
    </row>
    <row r="71" s="21" customFormat="1" ht="15">
      <c r="I71" s="75"/>
    </row>
    <row r="72" s="21" customFormat="1" ht="15">
      <c r="I72" s="75"/>
    </row>
    <row r="73" s="21" customFormat="1" ht="15">
      <c r="I73" s="75"/>
    </row>
    <row r="74" s="21" customFormat="1" ht="15">
      <c r="I74" s="75"/>
    </row>
    <row r="75" s="21" customFormat="1" ht="15">
      <c r="I75" s="75"/>
    </row>
    <row r="76" s="21" customFormat="1" ht="15">
      <c r="I76" s="75"/>
    </row>
    <row r="77" s="21" customFormat="1" ht="15">
      <c r="I77" s="75"/>
    </row>
    <row r="78" s="21" customFormat="1" ht="15">
      <c r="I78" s="75"/>
    </row>
    <row r="79" s="21" customFormat="1" ht="15">
      <c r="I79" s="75"/>
    </row>
    <row r="80" s="21" customFormat="1" ht="15">
      <c r="I80" s="75"/>
    </row>
    <row r="81" s="21" customFormat="1" ht="15">
      <c r="I81" s="75"/>
    </row>
    <row r="82" s="21" customFormat="1" ht="15">
      <c r="I82" s="75"/>
    </row>
    <row r="83" s="21" customFormat="1" ht="15">
      <c r="I83" s="75"/>
    </row>
    <row r="84" s="21" customFormat="1" ht="15">
      <c r="I84" s="75"/>
    </row>
    <row r="85" s="21" customFormat="1" ht="15">
      <c r="I85" s="75"/>
    </row>
    <row r="86" s="21" customFormat="1" ht="15">
      <c r="I86" s="75"/>
    </row>
    <row r="87" s="21" customFormat="1" ht="15">
      <c r="I87" s="75"/>
    </row>
    <row r="88" s="21" customFormat="1" ht="15">
      <c r="I88" s="75"/>
    </row>
    <row r="89" s="21" customFormat="1" ht="15">
      <c r="I89" s="75"/>
    </row>
    <row r="90" s="21" customFormat="1" ht="15">
      <c r="I90" s="75"/>
    </row>
    <row r="91" s="21" customFormat="1" ht="15">
      <c r="I91" s="75"/>
    </row>
    <row r="92" s="21" customFormat="1" ht="15">
      <c r="I92" s="75"/>
    </row>
    <row r="93" s="21" customFormat="1" ht="15">
      <c r="I93" s="75"/>
    </row>
    <row r="94" s="21" customFormat="1" ht="15">
      <c r="I94" s="75"/>
    </row>
    <row r="95" s="21" customFormat="1" ht="15">
      <c r="I95" s="75"/>
    </row>
    <row r="96" s="21" customFormat="1" ht="15">
      <c r="I96" s="75"/>
    </row>
    <row r="97" s="21" customFormat="1" ht="15">
      <c r="I97" s="75"/>
    </row>
    <row r="98" s="21" customFormat="1" ht="15">
      <c r="I98" s="75"/>
    </row>
    <row r="99" s="21" customFormat="1" ht="15">
      <c r="I99" s="75"/>
    </row>
    <row r="100" s="21" customFormat="1" ht="15">
      <c r="I100" s="75"/>
    </row>
    <row r="101" s="21" customFormat="1" ht="15">
      <c r="I101" s="75"/>
    </row>
    <row r="102" s="21" customFormat="1" ht="15">
      <c r="I102" s="75"/>
    </row>
    <row r="103" s="21" customFormat="1" ht="15">
      <c r="I103" s="75"/>
    </row>
    <row r="104" s="21" customFormat="1" ht="15">
      <c r="I104" s="75"/>
    </row>
    <row r="105" s="21" customFormat="1" ht="15">
      <c r="I105" s="75"/>
    </row>
    <row r="106" s="21" customFormat="1" ht="15">
      <c r="I106" s="75"/>
    </row>
    <row r="107" s="21" customFormat="1" ht="15">
      <c r="I107" s="75"/>
    </row>
    <row r="108" s="21" customFormat="1" ht="15">
      <c r="I108" s="75"/>
    </row>
    <row r="109" s="21" customFormat="1" ht="15">
      <c r="I109" s="75"/>
    </row>
    <row r="110" s="21" customFormat="1" ht="15">
      <c r="I110" s="75"/>
    </row>
    <row r="111" s="21" customFormat="1" ht="15">
      <c r="I111" s="75"/>
    </row>
    <row r="112" s="21" customFormat="1" ht="15">
      <c r="I112" s="75"/>
    </row>
    <row r="113" s="21" customFormat="1" ht="15">
      <c r="I113" s="75"/>
    </row>
    <row r="114" s="21" customFormat="1" ht="15">
      <c r="I114" s="75"/>
    </row>
    <row r="115" s="21" customFormat="1" ht="15">
      <c r="I115" s="75"/>
    </row>
    <row r="116" s="21" customFormat="1" ht="15">
      <c r="I116" s="75"/>
    </row>
    <row r="117" s="21" customFormat="1" ht="15">
      <c r="I117" s="75"/>
    </row>
    <row r="118" s="21" customFormat="1" ht="15">
      <c r="I118" s="75"/>
    </row>
    <row r="119" s="21" customFormat="1" ht="15">
      <c r="I119" s="75"/>
    </row>
    <row r="120" s="21" customFormat="1" ht="15">
      <c r="I120" s="75"/>
    </row>
    <row r="121" s="21" customFormat="1" ht="15">
      <c r="I121" s="75"/>
    </row>
    <row r="122" s="21" customFormat="1" ht="15">
      <c r="I122" s="75"/>
    </row>
    <row r="123" s="21" customFormat="1" ht="15">
      <c r="I123" s="75"/>
    </row>
    <row r="124" s="21" customFormat="1" ht="15">
      <c r="I124" s="75"/>
    </row>
    <row r="125" s="21" customFormat="1" ht="15">
      <c r="I125" s="75"/>
    </row>
    <row r="126" s="21" customFormat="1" ht="15">
      <c r="I126" s="75"/>
    </row>
    <row r="127" s="21" customFormat="1" ht="15">
      <c r="I127" s="75"/>
    </row>
    <row r="128" s="21" customFormat="1" ht="15">
      <c r="I128" s="75"/>
    </row>
    <row r="129" s="21" customFormat="1" ht="15">
      <c r="I129" s="75"/>
    </row>
    <row r="130" s="21" customFormat="1" ht="15">
      <c r="I130" s="75"/>
    </row>
    <row r="131" s="21" customFormat="1" ht="15">
      <c r="I131" s="75"/>
    </row>
    <row r="132" s="21" customFormat="1" ht="15">
      <c r="I132" s="75"/>
    </row>
    <row r="133" s="21" customFormat="1" ht="15">
      <c r="I133" s="75"/>
    </row>
    <row r="134" s="21" customFormat="1" ht="15">
      <c r="I134" s="75"/>
    </row>
    <row r="135" s="21" customFormat="1" ht="15">
      <c r="I135" s="75"/>
    </row>
    <row r="136" s="21" customFormat="1" ht="15">
      <c r="I136" s="75"/>
    </row>
    <row r="137" s="21" customFormat="1" ht="15">
      <c r="I137" s="75"/>
    </row>
    <row r="138" s="21" customFormat="1" ht="15">
      <c r="I138" s="75"/>
    </row>
  </sheetData>
  <sheetProtection/>
  <mergeCells count="7">
    <mergeCell ref="R29:S29"/>
    <mergeCell ref="T31:U31"/>
    <mergeCell ref="C17:D17"/>
    <mergeCell ref="C18:D18"/>
    <mergeCell ref="B1:H1"/>
    <mergeCell ref="C2:E2"/>
    <mergeCell ref="F2:H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4.57421875" style="21" customWidth="1"/>
    <col min="2" max="2" width="29.28125" style="33" customWidth="1"/>
    <col min="3" max="3" width="25.57421875" style="33" customWidth="1"/>
    <col min="4" max="4" width="17.8515625" style="33" bestFit="1" customWidth="1"/>
    <col min="5" max="5" width="12.140625" style="33" bestFit="1" customWidth="1"/>
    <col min="6" max="6" width="28.00390625" style="33" customWidth="1"/>
    <col min="7" max="7" width="17.8515625" style="33" bestFit="1" customWidth="1"/>
    <col min="8" max="8" width="12.140625" style="33" bestFit="1" customWidth="1"/>
    <col min="9" max="9" width="17.8515625" style="33" bestFit="1" customWidth="1"/>
    <col min="10" max="10" width="18.7109375" style="21" bestFit="1" customWidth="1"/>
    <col min="11" max="11" width="15.8515625" style="21" bestFit="1" customWidth="1"/>
    <col min="12" max="12" width="15.28125" style="21" bestFit="1" customWidth="1"/>
    <col min="13" max="43" width="11.421875" style="21" customWidth="1"/>
  </cols>
  <sheetData>
    <row r="1" spans="2:9" ht="15">
      <c r="B1" s="21"/>
      <c r="C1" s="21"/>
      <c r="D1" s="21"/>
      <c r="E1" s="21"/>
      <c r="F1" s="21"/>
      <c r="G1" s="21"/>
      <c r="H1" s="21"/>
      <c r="I1" s="21"/>
    </row>
    <row r="2" spans="2:12" ht="48" customHeight="1">
      <c r="B2" s="286" t="s">
        <v>143</v>
      </c>
      <c r="C2" s="286"/>
      <c r="D2" s="286"/>
      <c r="E2" s="286"/>
      <c r="F2" s="286"/>
      <c r="G2" s="286"/>
      <c r="H2" s="286"/>
      <c r="I2" s="286"/>
      <c r="J2" s="151"/>
      <c r="K2" s="151"/>
      <c r="L2" s="151"/>
    </row>
    <row r="3" spans="2:12" ht="15.75">
      <c r="B3" s="181" t="s">
        <v>46</v>
      </c>
      <c r="C3" s="290">
        <v>2015</v>
      </c>
      <c r="D3" s="291"/>
      <c r="E3" s="292"/>
      <c r="F3" s="293">
        <v>2016</v>
      </c>
      <c r="G3" s="291"/>
      <c r="H3" s="294"/>
      <c r="I3" s="182"/>
      <c r="J3" s="158"/>
      <c r="K3" s="295"/>
      <c r="L3" s="295"/>
    </row>
    <row r="4" spans="2:12" ht="32.25" thickBot="1">
      <c r="B4" s="175" t="s">
        <v>47</v>
      </c>
      <c r="C4" s="176" t="s">
        <v>135</v>
      </c>
      <c r="D4" s="177" t="s">
        <v>49</v>
      </c>
      <c r="E4" s="178" t="s">
        <v>136</v>
      </c>
      <c r="F4" s="179" t="s">
        <v>135</v>
      </c>
      <c r="G4" s="177" t="s">
        <v>49</v>
      </c>
      <c r="H4" s="180" t="s">
        <v>136</v>
      </c>
      <c r="I4" s="180" t="s">
        <v>137</v>
      </c>
      <c r="J4" s="88"/>
      <c r="K4" s="88"/>
      <c r="L4" s="88"/>
    </row>
    <row r="5" spans="2:12" ht="15.75">
      <c r="B5" s="101" t="s">
        <v>52</v>
      </c>
      <c r="C5" s="155">
        <v>21456</v>
      </c>
      <c r="D5" s="101">
        <f>'personas en el ITESZ Por año'!C9</f>
        <v>506</v>
      </c>
      <c r="E5" s="106">
        <f>C5/D5</f>
        <v>42.40316205533597</v>
      </c>
      <c r="F5" s="156">
        <v>21338</v>
      </c>
      <c r="G5" s="69">
        <f>'personas en el ITESZ Por año'!D9</f>
        <v>572</v>
      </c>
      <c r="H5" s="106">
        <f aca="true" t="shared" si="0" ref="H5:H16">F5/G5</f>
        <v>37.30419580419581</v>
      </c>
      <c r="I5" s="157">
        <f aca="true" t="shared" si="1" ref="I5:I16">(F5-C5)/F5</f>
        <v>-0.00553004030368357</v>
      </c>
      <c r="J5" s="159"/>
      <c r="K5" s="98"/>
      <c r="L5" s="98"/>
    </row>
    <row r="6" spans="2:12" ht="15.75">
      <c r="B6" s="102" t="s">
        <v>53</v>
      </c>
      <c r="C6" s="141">
        <v>24384</v>
      </c>
      <c r="D6" s="102">
        <f>'personas en el ITESZ Por año'!C10</f>
        <v>1911</v>
      </c>
      <c r="E6" s="107">
        <f aca="true" t="shared" si="2" ref="E6:E15">C6/D6</f>
        <v>12.759811616954474</v>
      </c>
      <c r="F6" s="152">
        <v>25848</v>
      </c>
      <c r="G6" s="29">
        <f>'personas en el ITESZ Por año'!D10</f>
        <v>2229</v>
      </c>
      <c r="H6" s="107">
        <f t="shared" si="0"/>
        <v>11.596231493943472</v>
      </c>
      <c r="I6" s="142">
        <f t="shared" si="1"/>
        <v>0.056638811513463325</v>
      </c>
      <c r="J6" s="159"/>
      <c r="K6" s="98"/>
      <c r="L6" s="98"/>
    </row>
    <row r="7" spans="2:12" ht="15.75">
      <c r="B7" s="102" t="s">
        <v>54</v>
      </c>
      <c r="C7" s="141">
        <v>27504</v>
      </c>
      <c r="D7" s="102">
        <f>'personas en el ITESZ Por año'!C11</f>
        <v>1911</v>
      </c>
      <c r="E7" s="107">
        <f t="shared" si="2"/>
        <v>14.392464678178964</v>
      </c>
      <c r="F7" s="152">
        <v>23112</v>
      </c>
      <c r="G7" s="29">
        <f>'personas en el ITESZ Por año'!D11</f>
        <v>2229</v>
      </c>
      <c r="H7" s="107">
        <f t="shared" si="0"/>
        <v>10.36877523553163</v>
      </c>
      <c r="I7" s="142">
        <f t="shared" si="1"/>
        <v>-0.19003115264797507</v>
      </c>
      <c r="J7" s="159"/>
      <c r="K7" s="98"/>
      <c r="L7" s="98"/>
    </row>
    <row r="8" spans="2:12" ht="15.75">
      <c r="B8" s="102" t="s">
        <v>55</v>
      </c>
      <c r="C8" s="141">
        <v>25488</v>
      </c>
      <c r="D8" s="102">
        <f>'personas en el ITESZ Por año'!C12</f>
        <v>1911</v>
      </c>
      <c r="E8" s="107">
        <f t="shared" si="2"/>
        <v>13.33751962323391</v>
      </c>
      <c r="F8" s="152">
        <v>21133</v>
      </c>
      <c r="G8" s="29">
        <f>'personas en el ITESZ Por año'!D12</f>
        <v>2229</v>
      </c>
      <c r="H8" s="107">
        <f t="shared" si="0"/>
        <v>9.480933153880663</v>
      </c>
      <c r="I8" s="142">
        <f t="shared" si="1"/>
        <v>-0.2060758056120759</v>
      </c>
      <c r="J8" s="159"/>
      <c r="K8" s="98"/>
      <c r="L8" s="98"/>
    </row>
    <row r="9" spans="1:12" ht="15.75">
      <c r="A9" s="98"/>
      <c r="B9" s="102" t="s">
        <v>56</v>
      </c>
      <c r="C9" s="141">
        <v>31200</v>
      </c>
      <c r="D9" s="102">
        <f>'personas en el ITESZ Por año'!C13</f>
        <v>1911</v>
      </c>
      <c r="E9" s="107">
        <f t="shared" si="2"/>
        <v>16.3265306122449</v>
      </c>
      <c r="F9" s="152">
        <v>27422</v>
      </c>
      <c r="G9" s="29">
        <f>'personas en el ITESZ Por año'!D13</f>
        <v>2229</v>
      </c>
      <c r="H9" s="107">
        <f t="shared" si="0"/>
        <v>12.302377747869</v>
      </c>
      <c r="I9" s="142">
        <f t="shared" si="1"/>
        <v>-0.13777259135001094</v>
      </c>
      <c r="J9" s="159"/>
      <c r="K9" s="98"/>
      <c r="L9" s="98"/>
    </row>
    <row r="10" spans="2:12" ht="15.75">
      <c r="B10" s="102" t="s">
        <v>57</v>
      </c>
      <c r="C10" s="141">
        <v>27336</v>
      </c>
      <c r="D10" s="102">
        <f>'personas en el ITESZ Por año'!C14</f>
        <v>1911</v>
      </c>
      <c r="E10" s="107">
        <f>C10/D10</f>
        <v>14.304552590266876</v>
      </c>
      <c r="F10" s="152">
        <v>35361</v>
      </c>
      <c r="G10" s="29">
        <f>'personas en el ITESZ Por año'!D14</f>
        <v>2229</v>
      </c>
      <c r="H10" s="107">
        <f t="shared" si="0"/>
        <v>15.864064602960969</v>
      </c>
      <c r="I10" s="142">
        <f t="shared" si="1"/>
        <v>0.2269449393399508</v>
      </c>
      <c r="J10" s="159"/>
      <c r="K10" s="98"/>
      <c r="L10" s="98"/>
    </row>
    <row r="11" spans="2:12" ht="15.75">
      <c r="B11" s="102" t="s">
        <v>62</v>
      </c>
      <c r="C11" s="141">
        <v>17664</v>
      </c>
      <c r="D11" s="102">
        <f>'personas en el ITESZ Por año'!C15</f>
        <v>705</v>
      </c>
      <c r="E11" s="107">
        <f t="shared" si="2"/>
        <v>25.05531914893617</v>
      </c>
      <c r="F11" s="257">
        <v>15001</v>
      </c>
      <c r="G11" s="102">
        <f>'personas en el ITESZ Por año'!D15</f>
        <v>775</v>
      </c>
      <c r="H11" s="107">
        <f t="shared" si="0"/>
        <v>19.356129032258064</v>
      </c>
      <c r="I11" s="142">
        <f t="shared" si="1"/>
        <v>-0.17752149856676222</v>
      </c>
      <c r="J11" s="159"/>
      <c r="K11" s="98"/>
      <c r="L11" s="98"/>
    </row>
    <row r="12" spans="2:12" ht="15.75">
      <c r="B12" s="102" t="s">
        <v>65</v>
      </c>
      <c r="C12" s="141">
        <v>24000</v>
      </c>
      <c r="D12" s="103">
        <f>'personas en el ITESZ Por año'!C16</f>
        <v>2560</v>
      </c>
      <c r="E12" s="107">
        <f t="shared" si="2"/>
        <v>9.375</v>
      </c>
      <c r="F12" s="258">
        <v>23200</v>
      </c>
      <c r="G12" s="103">
        <f>'personas en el ITESZ Por año'!D16</f>
        <v>2774</v>
      </c>
      <c r="H12" s="107">
        <f t="shared" si="0"/>
        <v>8.3633741888969</v>
      </c>
      <c r="I12" s="142">
        <f t="shared" si="1"/>
        <v>-0.034482758620689655</v>
      </c>
      <c r="J12" s="159"/>
      <c r="K12" s="98"/>
      <c r="L12" s="98"/>
    </row>
    <row r="13" spans="2:12" ht="15.75">
      <c r="B13" s="102" t="s">
        <v>66</v>
      </c>
      <c r="C13" s="141">
        <v>30024</v>
      </c>
      <c r="D13" s="103">
        <f>'personas en el ITESZ Por año'!C17</f>
        <v>2560</v>
      </c>
      <c r="E13" s="107">
        <f t="shared" si="2"/>
        <v>11.728125</v>
      </c>
      <c r="F13" s="258">
        <v>28900</v>
      </c>
      <c r="G13" s="103">
        <f>'personas en el ITESZ Por año'!D17</f>
        <v>2774</v>
      </c>
      <c r="H13" s="107">
        <f t="shared" si="0"/>
        <v>10.418168709444846</v>
      </c>
      <c r="I13" s="142">
        <f t="shared" si="1"/>
        <v>-0.03889273356401384</v>
      </c>
      <c r="J13" s="159"/>
      <c r="K13" s="98"/>
      <c r="L13" s="98"/>
    </row>
    <row r="14" spans="2:12" ht="16.5" customHeight="1">
      <c r="B14" s="102" t="s">
        <v>67</v>
      </c>
      <c r="C14" s="141">
        <v>31704</v>
      </c>
      <c r="D14" s="103">
        <f>'personas en el ITESZ Por año'!C18</f>
        <v>2560</v>
      </c>
      <c r="E14" s="107">
        <f t="shared" si="2"/>
        <v>12.384375</v>
      </c>
      <c r="F14" s="152"/>
      <c r="G14" s="103">
        <f>'personas en el ITESZ Por año'!D18</f>
        <v>2774</v>
      </c>
      <c r="H14" s="107">
        <f t="shared" si="0"/>
        <v>0</v>
      </c>
      <c r="I14" s="142" t="e">
        <f t="shared" si="1"/>
        <v>#DIV/0!</v>
      </c>
      <c r="J14" s="159"/>
      <c r="K14" s="98"/>
      <c r="L14" s="98"/>
    </row>
    <row r="15" spans="2:12" ht="15.75">
      <c r="B15" s="102" t="s">
        <v>68</v>
      </c>
      <c r="C15" s="141">
        <v>29784</v>
      </c>
      <c r="D15" s="103">
        <f>'personas en el ITESZ Por año'!C19</f>
        <v>2560</v>
      </c>
      <c r="E15" s="107">
        <f t="shared" si="2"/>
        <v>11.634375</v>
      </c>
      <c r="F15" s="152"/>
      <c r="G15" s="103">
        <f>'personas en el ITESZ Por año'!D19</f>
        <v>2774</v>
      </c>
      <c r="H15" s="107">
        <f t="shared" si="0"/>
        <v>0</v>
      </c>
      <c r="I15" s="142" t="e">
        <f t="shared" si="1"/>
        <v>#DIV/0!</v>
      </c>
      <c r="J15" s="159"/>
      <c r="K15" s="98"/>
      <c r="L15" s="98"/>
    </row>
    <row r="16" spans="2:12" ht="15.75">
      <c r="B16" s="102" t="s">
        <v>69</v>
      </c>
      <c r="C16" s="141">
        <v>24672</v>
      </c>
      <c r="D16" s="103">
        <f>'personas en el ITESZ Por año'!C20</f>
        <v>2560</v>
      </c>
      <c r="E16" s="107">
        <f>C16/D16</f>
        <v>9.6375</v>
      </c>
      <c r="F16" s="152"/>
      <c r="G16" s="103">
        <f>'personas en el ITESZ Por año'!D20</f>
        <v>2774</v>
      </c>
      <c r="H16" s="107">
        <f t="shared" si="0"/>
        <v>0</v>
      </c>
      <c r="I16" s="142" t="e">
        <f t="shared" si="1"/>
        <v>#DIV/0!</v>
      </c>
      <c r="J16" s="159"/>
      <c r="K16" s="98"/>
      <c r="L16" s="98"/>
    </row>
    <row r="17" spans="2:12" ht="15.75">
      <c r="B17" s="153" t="s">
        <v>70</v>
      </c>
      <c r="C17" s="107">
        <f>SUM(C5:C16)</f>
        <v>315216</v>
      </c>
      <c r="D17" s="107">
        <f>AVERAGE(D5:D16)</f>
        <v>1963.8333333333333</v>
      </c>
      <c r="E17" s="107">
        <f>SUM(E5:E16)</f>
        <v>193.33873532515128</v>
      </c>
      <c r="F17" s="103">
        <f>SUM(F5:F16)</f>
        <v>221315</v>
      </c>
      <c r="G17" s="103">
        <f>AVERAGE(G5:G16)</f>
        <v>2196.8333333333335</v>
      </c>
      <c r="H17" s="107">
        <f>SUM(H5:H16)</f>
        <v>135.05424996898134</v>
      </c>
      <c r="I17" s="142"/>
      <c r="J17" s="159"/>
      <c r="K17" s="98"/>
      <c r="L17" s="98"/>
    </row>
    <row r="18" spans="2:12" ht="15.75">
      <c r="B18" s="154" t="s">
        <v>142</v>
      </c>
      <c r="C18" s="297">
        <f>C17/D17</f>
        <v>160.51056606976152</v>
      </c>
      <c r="D18" s="297"/>
      <c r="E18" s="107"/>
      <c r="F18" s="297">
        <f>F17/G17</f>
        <v>100.74273575601244</v>
      </c>
      <c r="G18" s="297"/>
      <c r="H18" s="107"/>
      <c r="I18" s="107"/>
      <c r="J18" s="159"/>
      <c r="K18" s="98"/>
      <c r="L18" s="98"/>
    </row>
    <row r="19" spans="2:12" ht="15.75">
      <c r="B19" s="154" t="s">
        <v>71</v>
      </c>
      <c r="C19" s="298"/>
      <c r="D19" s="298"/>
      <c r="E19" s="149"/>
      <c r="F19" s="299">
        <f>(F18-C18)/F18</f>
        <v>-0.593271860896254</v>
      </c>
      <c r="G19" s="299"/>
      <c r="H19" s="149"/>
      <c r="I19" s="149"/>
      <c r="J19" s="160"/>
      <c r="K19" s="160"/>
      <c r="L19" s="160"/>
    </row>
    <row r="20" spans="6:12" s="21" customFormat="1" ht="15">
      <c r="F20" s="150"/>
      <c r="L20" s="98"/>
    </row>
    <row r="21" s="21" customFormat="1" ht="15"/>
    <row r="22" spans="2:7" s="21" customFormat="1" ht="15.75" customHeight="1">
      <c r="B22" s="300" t="s">
        <v>138</v>
      </c>
      <c r="C22" s="300"/>
      <c r="D22" s="300"/>
      <c r="E22" s="300"/>
      <c r="F22" s="300"/>
      <c r="G22" s="300"/>
    </row>
    <row r="23" spans="2:7" s="21" customFormat="1" ht="15">
      <c r="B23" s="300"/>
      <c r="C23" s="300"/>
      <c r="D23" s="300"/>
      <c r="E23" s="300"/>
      <c r="F23" s="300"/>
      <c r="G23" s="300"/>
    </row>
    <row r="24" spans="2:9" ht="28.5" customHeight="1">
      <c r="B24" s="183" t="s">
        <v>46</v>
      </c>
      <c r="C24" s="184" t="s">
        <v>58</v>
      </c>
      <c r="D24" s="184" t="s">
        <v>59</v>
      </c>
      <c r="E24" s="296" t="s">
        <v>139</v>
      </c>
      <c r="F24" s="296"/>
      <c r="G24" s="185" t="s">
        <v>61</v>
      </c>
      <c r="H24" s="21"/>
      <c r="I24" s="21"/>
    </row>
    <row r="25" spans="2:9" ht="16.5" thickBot="1">
      <c r="B25" s="162">
        <v>2015</v>
      </c>
      <c r="C25" s="143">
        <f>C18</f>
        <v>160.51056606976152</v>
      </c>
      <c r="D25" s="144" t="s">
        <v>140</v>
      </c>
      <c r="E25" s="145">
        <v>0.385</v>
      </c>
      <c r="F25" s="146" t="s">
        <v>141</v>
      </c>
      <c r="G25" s="161">
        <f>C25*E25</f>
        <v>61.79656793685819</v>
      </c>
      <c r="H25" s="21"/>
      <c r="I25" s="21"/>
    </row>
    <row r="26" spans="2:9" ht="16.5" thickBot="1">
      <c r="B26" s="163">
        <v>2016</v>
      </c>
      <c r="C26" s="148">
        <f>F18</f>
        <v>100.74273575601244</v>
      </c>
      <c r="D26" s="144" t="s">
        <v>140</v>
      </c>
      <c r="E26" s="145">
        <v>0.385</v>
      </c>
      <c r="F26" s="146" t="s">
        <v>141</v>
      </c>
      <c r="G26" s="147">
        <f>C26*E26</f>
        <v>38.78595326606479</v>
      </c>
      <c r="H26" s="21"/>
      <c r="I26" s="21"/>
    </row>
    <row r="27" s="21" customFormat="1" ht="15"/>
    <row r="28" spans="2:9" ht="15">
      <c r="B28" s="62" t="s">
        <v>146</v>
      </c>
      <c r="C28" s="62" t="s">
        <v>80</v>
      </c>
      <c r="D28" s="62" t="s">
        <v>81</v>
      </c>
      <c r="E28" s="21"/>
      <c r="F28" s="188" t="s">
        <v>147</v>
      </c>
      <c r="G28" s="62" t="s">
        <v>80</v>
      </c>
      <c r="H28" s="62" t="s">
        <v>81</v>
      </c>
      <c r="I28" s="21"/>
    </row>
    <row r="29" spans="2:9" ht="15">
      <c r="B29" s="57" t="s">
        <v>72</v>
      </c>
      <c r="C29" s="56">
        <f>+C5+C6+C7</f>
        <v>73344</v>
      </c>
      <c r="D29" s="53">
        <f>+F5+F6+F7</f>
        <v>70298</v>
      </c>
      <c r="E29" s="21"/>
      <c r="F29" s="57" t="s">
        <v>72</v>
      </c>
      <c r="G29" s="56">
        <f>+E5+E6+E7</f>
        <v>69.5554383504694</v>
      </c>
      <c r="H29" s="53">
        <f>+H5+H6+H7</f>
        <v>59.26920253367091</v>
      </c>
      <c r="I29" s="21"/>
    </row>
    <row r="30" spans="2:9" ht="15">
      <c r="B30" s="57" t="s">
        <v>73</v>
      </c>
      <c r="C30" s="52">
        <f>+C8+C9+C10</f>
        <v>84024</v>
      </c>
      <c r="D30" s="53">
        <f>+F8+F9+F10</f>
        <v>83916</v>
      </c>
      <c r="E30" s="21"/>
      <c r="F30" s="57" t="s">
        <v>73</v>
      </c>
      <c r="G30" s="52">
        <f>+E8+E9+E10</f>
        <v>43.968602825745684</v>
      </c>
      <c r="H30" s="53">
        <f>+H8+H9+H10</f>
        <v>37.64737550471064</v>
      </c>
      <c r="I30" s="21"/>
    </row>
    <row r="31" spans="2:9" ht="15">
      <c r="B31" s="57" t="s">
        <v>74</v>
      </c>
      <c r="C31" s="52">
        <f>+C11+C12+C13</f>
        <v>71688</v>
      </c>
      <c r="D31" s="53">
        <f>+F11+F12+F13</f>
        <v>67101</v>
      </c>
      <c r="E31" s="21"/>
      <c r="F31" s="57" t="s">
        <v>74</v>
      </c>
      <c r="G31" s="52">
        <f>+E11+E12+E13</f>
        <v>46.15844414893617</v>
      </c>
      <c r="H31" s="53">
        <f>+H11+H12+H13</f>
        <v>38.13767193059981</v>
      </c>
      <c r="I31" s="21"/>
    </row>
    <row r="32" spans="2:9" ht="15">
      <c r="B32" s="57" t="s">
        <v>75</v>
      </c>
      <c r="C32" s="52">
        <f>+C14+C15+C16</f>
        <v>86160</v>
      </c>
      <c r="D32" s="54">
        <f>+F14+F15+F16</f>
        <v>0</v>
      </c>
      <c r="E32" s="21"/>
      <c r="F32" s="57" t="s">
        <v>75</v>
      </c>
      <c r="G32" s="52">
        <f>+E14+E15+E16</f>
        <v>33.65625</v>
      </c>
      <c r="H32" s="54">
        <f>+H14+H15+H16</f>
        <v>0</v>
      </c>
      <c r="I32" s="21"/>
    </row>
    <row r="33" spans="2:9" ht="15">
      <c r="B33" s="18" t="s">
        <v>70</v>
      </c>
      <c r="C33" s="132">
        <f>SUM(C29:C32)</f>
        <v>315216</v>
      </c>
      <c r="D33" s="132">
        <f>SUM(D29:D32)</f>
        <v>221315</v>
      </c>
      <c r="E33" s="21"/>
      <c r="F33" s="18" t="s">
        <v>70</v>
      </c>
      <c r="G33" s="132">
        <f>SUM(G29:G32)</f>
        <v>193.33873532515128</v>
      </c>
      <c r="H33" s="132">
        <f>SUM(H29:H32)</f>
        <v>135.05424996898137</v>
      </c>
      <c r="I33" s="21"/>
    </row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</sheetData>
  <sheetProtection/>
  <mergeCells count="10">
    <mergeCell ref="C3:E3"/>
    <mergeCell ref="F3:H3"/>
    <mergeCell ref="K3:L3"/>
    <mergeCell ref="B2:I2"/>
    <mergeCell ref="E24:F24"/>
    <mergeCell ref="C18:D18"/>
    <mergeCell ref="F18:G18"/>
    <mergeCell ref="C19:D19"/>
    <mergeCell ref="F19:G19"/>
    <mergeCell ref="B22:G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="80" zoomScaleNormal="80" zoomScalePageLayoutView="40" workbookViewId="0" topLeftCell="A1">
      <selection activeCell="F9" sqref="F9"/>
    </sheetView>
  </sheetViews>
  <sheetFormatPr defaultColWidth="11.421875" defaultRowHeight="15"/>
  <cols>
    <col min="1" max="1" width="6.28125" style="0" customWidth="1"/>
    <col min="2" max="2" width="39.7109375" style="0" customWidth="1"/>
    <col min="3" max="3" width="21.8515625" style="0" bestFit="1" customWidth="1"/>
    <col min="4" max="4" width="21.8515625" style="0" customWidth="1"/>
    <col min="5" max="5" width="24.7109375" style="0" customWidth="1"/>
    <col min="6" max="6" width="17.421875" style="0" customWidth="1"/>
    <col min="7" max="7" width="16.7109375" style="0" customWidth="1"/>
    <col min="8" max="8" width="12.140625" style="0" customWidth="1"/>
    <col min="9" max="9" width="13.28125" style="0" customWidth="1"/>
    <col min="10" max="10" width="13.57421875" style="0" customWidth="1"/>
    <col min="11" max="11" width="13.28125" style="0" customWidth="1"/>
    <col min="12" max="12" width="13.8515625" style="0" customWidth="1"/>
    <col min="18" max="18" width="23.421875" style="0" hidden="1" customWidth="1"/>
    <col min="19" max="19" width="38.57421875" style="0" customWidth="1"/>
  </cols>
  <sheetData>
    <row r="1" s="1" customFormat="1" ht="15"/>
    <row r="2" spans="3:19" s="1" customFormat="1" ht="67.5" customHeight="1">
      <c r="C2" s="312" t="s">
        <v>40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="1" customFormat="1" ht="15"/>
    <row r="4" spans="8:12" s="1" customFormat="1" ht="15">
      <c r="H4" s="316"/>
      <c r="I4" s="316"/>
      <c r="J4" s="316"/>
      <c r="K4" s="316"/>
      <c r="L4" s="316"/>
    </row>
    <row r="5" spans="1:19" s="1" customFormat="1" ht="27.75">
      <c r="A5" s="313" t="s">
        <v>167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="1" customFormat="1" ht="15.75" thickBot="1"/>
    <row r="7" spans="1:19" s="1" customFormat="1" ht="35.25" customHeight="1">
      <c r="A7" s="303" t="s">
        <v>0</v>
      </c>
      <c r="B7" s="303" t="s">
        <v>168</v>
      </c>
      <c r="C7" s="303" t="s">
        <v>1</v>
      </c>
      <c r="D7" s="303" t="s">
        <v>45</v>
      </c>
      <c r="E7" s="308" t="s">
        <v>39</v>
      </c>
      <c r="F7" s="309"/>
      <c r="G7" s="303" t="s">
        <v>2</v>
      </c>
      <c r="H7" s="305" t="s">
        <v>32</v>
      </c>
      <c r="I7" s="306"/>
      <c r="J7" s="306"/>
      <c r="K7" s="306"/>
      <c r="L7" s="307"/>
      <c r="M7" s="305" t="s">
        <v>36</v>
      </c>
      <c r="N7" s="306"/>
      <c r="O7" s="306"/>
      <c r="P7" s="306"/>
      <c r="Q7" s="307"/>
      <c r="R7" s="197"/>
      <c r="S7" s="301" t="s">
        <v>3</v>
      </c>
    </row>
    <row r="8" spans="1:19" s="1" customFormat="1" ht="30">
      <c r="A8" s="304"/>
      <c r="B8" s="314"/>
      <c r="C8" s="304"/>
      <c r="D8" s="304"/>
      <c r="E8" s="310"/>
      <c r="F8" s="311"/>
      <c r="G8" s="317"/>
      <c r="H8" s="241" t="s">
        <v>4</v>
      </c>
      <c r="I8" s="242" t="s">
        <v>5</v>
      </c>
      <c r="J8" s="242" t="s">
        <v>6</v>
      </c>
      <c r="K8" s="239" t="s">
        <v>7</v>
      </c>
      <c r="L8" s="242" t="s">
        <v>14</v>
      </c>
      <c r="M8" s="242" t="s">
        <v>4</v>
      </c>
      <c r="N8" s="239" t="s">
        <v>5</v>
      </c>
      <c r="O8" s="242" t="s">
        <v>6</v>
      </c>
      <c r="P8" s="242" t="s">
        <v>7</v>
      </c>
      <c r="Q8" s="244" t="s">
        <v>14</v>
      </c>
      <c r="R8" s="218"/>
      <c r="S8" s="302"/>
    </row>
    <row r="9" spans="1:19" s="3" customFormat="1" ht="99.75" customHeight="1">
      <c r="A9" s="16">
        <v>1</v>
      </c>
      <c r="B9" s="318" t="s">
        <v>169</v>
      </c>
      <c r="C9" s="230" t="s">
        <v>8</v>
      </c>
      <c r="D9" s="230" t="s">
        <v>41</v>
      </c>
      <c r="E9" s="231" t="s">
        <v>161</v>
      </c>
      <c r="F9" s="254">
        <f>'RESUMEN IND. DE CUMPLIMIENTO'!G10</f>
        <v>1.0715120158746392</v>
      </c>
      <c r="G9" s="236" t="s">
        <v>172</v>
      </c>
      <c r="H9" s="240">
        <f>+'REGISTRO CONSUMO DEL AGUA'!G22</f>
        <v>0.27603111174539746</v>
      </c>
      <c r="I9" s="204">
        <f>+'REGISTRO CONSUMO DEL AGUA'!G23</f>
        <v>0.24207221350078492</v>
      </c>
      <c r="J9" s="204">
        <f>+'REGISTRO CONSUMO DEL AGUA'!G24</f>
        <v>0.2604341201241135</v>
      </c>
      <c r="K9" s="240">
        <f>+'REGISTRO CONSUMO DEL AGUA'!G25</f>
        <v>0.179328125</v>
      </c>
      <c r="L9" s="261">
        <f>SUM(H9:K9)</f>
        <v>0.9578655703702958</v>
      </c>
      <c r="M9" s="210">
        <f>+'REGISTRO CONSUMO DEL AGUA'!H22</f>
        <v>0.26312012348351516</v>
      </c>
      <c r="N9" s="243">
        <f>+'REGISTRO CONSUMO DEL AGUA'!H23</f>
        <v>0.3069089277703006</v>
      </c>
      <c r="O9" s="210">
        <f>+'REGISTRO CONSUMO DEL AGUA'!H24</f>
        <v>0.41757285392004095</v>
      </c>
      <c r="P9" s="210">
        <f>+'REGISTRO CONSUMO DEL AGUA'!H25</f>
        <v>0</v>
      </c>
      <c r="Q9" s="245">
        <f>SUM(M9:P9)</f>
        <v>0.9876019051738567</v>
      </c>
      <c r="R9" s="212"/>
      <c r="S9" s="2"/>
    </row>
    <row r="10" spans="1:19" s="3" customFormat="1" ht="99.75" customHeight="1">
      <c r="A10" s="16">
        <v>2</v>
      </c>
      <c r="B10" s="319"/>
      <c r="C10" s="315" t="s">
        <v>9</v>
      </c>
      <c r="D10" s="232" t="s">
        <v>42</v>
      </c>
      <c r="E10" s="233" t="s">
        <v>170</v>
      </c>
      <c r="F10" s="255">
        <f>'RESUMEN IND. DE CUMPLIMIENTO'!G11</f>
        <v>5.561529918863175</v>
      </c>
      <c r="G10" s="237" t="s">
        <v>10</v>
      </c>
      <c r="H10" s="205">
        <f>+'REGISTRO GEN. RES.SOL URB.'!G43</f>
        <v>1.3988681091165562</v>
      </c>
      <c r="I10" s="205">
        <f>+'REGISTRO GEN. RES.SOL URB.'!G44</f>
        <v>1.0068027210884354</v>
      </c>
      <c r="J10" s="205">
        <f>+'REGISTRO GEN. RES.SOL URB.'!G45</f>
        <v>1.6027122118794328</v>
      </c>
      <c r="K10" s="205">
        <f>+'REGISTRO GEN. RES.SOL URB.'!G46</f>
        <v>0.96328125</v>
      </c>
      <c r="L10" s="208">
        <f>SUM(H10:K10)</f>
        <v>4.971664292084424</v>
      </c>
      <c r="M10" s="207">
        <f>+'REGISTRO GEN. RES.SOL URB.'!H43</f>
        <v>1.578591406350491</v>
      </c>
      <c r="N10" s="207">
        <f>+'REGISTRO GEN. RES.SOL URB.'!H44</f>
        <v>0.44104979811574696</v>
      </c>
      <c r="O10" s="207">
        <f>+'REGISTRO GEN. RES.SOL URB.'!H45</f>
        <v>0.40757238877130963</v>
      </c>
      <c r="P10" s="207">
        <f>+'REGISTRO GEN. RES.SOL URB.'!H46</f>
        <v>0</v>
      </c>
      <c r="Q10" s="219">
        <f>SUM(M10:P10)</f>
        <v>2.427213593237548</v>
      </c>
      <c r="R10" s="208"/>
      <c r="S10" s="4"/>
    </row>
    <row r="11" spans="1:19" s="3" customFormat="1" ht="99.75" customHeight="1">
      <c r="A11" s="16">
        <v>3</v>
      </c>
      <c r="B11" s="319"/>
      <c r="C11" s="315"/>
      <c r="D11" s="232" t="s">
        <v>43</v>
      </c>
      <c r="E11" s="233" t="s">
        <v>171</v>
      </c>
      <c r="F11" s="255">
        <f>'RESUMEN IND. DE CUMPLIMIENTO'!G12</f>
        <v>6.822508307274496</v>
      </c>
      <c r="G11" s="237" t="s">
        <v>11</v>
      </c>
      <c r="H11" s="205">
        <f>+'REGISTRO CONSUMO DEL PAPEL'!G22</f>
        <v>3.2142857142857144</v>
      </c>
      <c r="I11" s="205">
        <f>+'REGISTRO CONSUMO DEL PAPEL'!G23</f>
        <v>0.956043956043956</v>
      </c>
      <c r="J11" s="205">
        <f>+'REGISTRO CONSUMO DEL PAPEL'!G24</f>
        <v>1.3241758241758244</v>
      </c>
      <c r="K11" s="205">
        <f>+'REGISTRO CONSUMO DEL PAPEL'!G25</f>
        <v>0.6043956043956045</v>
      </c>
      <c r="L11" s="208">
        <f>SUM(H11:K11)</f>
        <v>6.0989010989010985</v>
      </c>
      <c r="M11" s="207">
        <f>+'REGISTRO CONSUMO DEL PAPEL'!H22</f>
        <v>2.4712807881773395</v>
      </c>
      <c r="N11" s="207">
        <f>+'REGISTRO CONSUMO DEL PAPEL'!H23</f>
        <v>3.5783251231527093</v>
      </c>
      <c r="O11" s="207">
        <f>+'REGISTRO CONSUMO DEL PAPEL'!H24</f>
        <v>2.2364532019704435</v>
      </c>
      <c r="P11" s="207">
        <f>+'REGISTRO CONSUMO DEL PAPEL'!H25</f>
        <v>0</v>
      </c>
      <c r="Q11" s="219">
        <f>SUM(M11:P11)</f>
        <v>8.286059113300492</v>
      </c>
      <c r="R11" s="208"/>
      <c r="S11" s="4"/>
    </row>
    <row r="12" spans="1:19" s="3" customFormat="1" ht="134.25" customHeight="1">
      <c r="A12" s="16">
        <v>4</v>
      </c>
      <c r="B12" s="320"/>
      <c r="C12" s="234" t="s">
        <v>12</v>
      </c>
      <c r="D12" s="234" t="s">
        <v>44</v>
      </c>
      <c r="E12" s="235" t="s">
        <v>162</v>
      </c>
      <c r="F12" s="256">
        <f>'RESUMEN IND. DE CUMPLIMIENTO'!G13</f>
        <v>216.27750745317994</v>
      </c>
      <c r="G12" s="238" t="s">
        <v>13</v>
      </c>
      <c r="H12" s="206">
        <f>+'REGISTRO CONSUMO ENERGÍA ELEC.'!G29</f>
        <v>69.5554383504694</v>
      </c>
      <c r="I12" s="206">
        <f>+'REGISTRO CONSUMO ENERGÍA ELEC.'!G30</f>
        <v>43.968602825745684</v>
      </c>
      <c r="J12" s="206">
        <f>+'REGISTRO CONSUMO ENERGÍA ELEC.'!G31</f>
        <v>46.15844414893617</v>
      </c>
      <c r="K12" s="206">
        <f>+'REGISTRO CONSUMO ENERGÍA ELEC.'!G32</f>
        <v>33.65625</v>
      </c>
      <c r="L12" s="209">
        <f>SUM(H12:K12)</f>
        <v>193.33873532515128</v>
      </c>
      <c r="M12" s="211">
        <f>+'REGISTRO CONSUMO ENERGÍA ELEC.'!H29</f>
        <v>59.26920253367091</v>
      </c>
      <c r="N12" s="211">
        <f>+'REGISTRO CONSUMO ENERGÍA ELEC.'!H30</f>
        <v>37.64737550471064</v>
      </c>
      <c r="O12" s="211">
        <f>+'REGISTRO CONSUMO ENERGÍA ELEC.'!H31</f>
        <v>38.13767193059981</v>
      </c>
      <c r="P12" s="211">
        <f>+'REGISTRO CONSUMO ENERGÍA ELEC.'!H32</f>
        <v>0</v>
      </c>
      <c r="Q12" s="220">
        <f>SUM(M12:P12)</f>
        <v>135.05424996898137</v>
      </c>
      <c r="R12" s="209"/>
      <c r="S12" s="5"/>
    </row>
    <row r="13" s="21" customFormat="1" ht="15"/>
    <row r="14" s="21" customFormat="1" ht="15">
      <c r="Q14" s="222"/>
    </row>
    <row r="15" s="21" customFormat="1" ht="15">
      <c r="F15" s="221"/>
    </row>
    <row r="16" s="21" customFormat="1" ht="15">
      <c r="G16" s="22"/>
    </row>
    <row r="17" s="21" customFormat="1" ht="15">
      <c r="P17" s="22"/>
    </row>
    <row r="18" spans="14:18" s="21" customFormat="1" ht="15">
      <c r="N18" s="23"/>
      <c r="O18" s="23"/>
      <c r="P18" s="24"/>
      <c r="Q18" s="25"/>
      <c r="R18" s="25"/>
    </row>
    <row r="19" spans="14:18" s="21" customFormat="1" ht="15">
      <c r="N19" s="23"/>
      <c r="O19" s="23"/>
      <c r="P19" s="24"/>
      <c r="Q19" s="25"/>
      <c r="R19" s="25"/>
    </row>
    <row r="20" spans="14:18" s="21" customFormat="1" ht="15">
      <c r="N20" s="23"/>
      <c r="O20" s="23"/>
      <c r="P20" s="24"/>
      <c r="Q20" s="25"/>
      <c r="R20" s="25"/>
    </row>
    <row r="21" spans="14:18" s="21" customFormat="1" ht="15">
      <c r="N21" s="23"/>
      <c r="O21" s="23"/>
      <c r="P21" s="24"/>
      <c r="Q21" s="25"/>
      <c r="R21" s="25"/>
    </row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</sheetData>
  <sheetProtection/>
  <mergeCells count="14">
    <mergeCell ref="C10:C11"/>
    <mergeCell ref="C7:C8"/>
    <mergeCell ref="H4:L4"/>
    <mergeCell ref="A7:A8"/>
    <mergeCell ref="G7:G8"/>
    <mergeCell ref="H7:L7"/>
    <mergeCell ref="B9:B12"/>
    <mergeCell ref="S7:S8"/>
    <mergeCell ref="D7:D8"/>
    <mergeCell ref="M7:Q7"/>
    <mergeCell ref="E7:F8"/>
    <mergeCell ref="C2:S2"/>
    <mergeCell ref="A5:S5"/>
    <mergeCell ref="B7:B8"/>
  </mergeCells>
  <printOptions/>
  <pageMargins left="0.7" right="0.7" top="0.75" bottom="0.75" header="0.3" footer="0.3"/>
  <pageSetup horizontalDpi="600" verticalDpi="6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D36" sqref="D36"/>
    </sheetView>
  </sheetViews>
  <sheetFormatPr defaultColWidth="11.421875" defaultRowHeight="15"/>
  <cols>
    <col min="1" max="1" width="3.00390625" style="21" customWidth="1"/>
    <col min="4" max="4" width="15.421875" style="0" customWidth="1"/>
    <col min="5" max="5" width="19.00390625" style="0" customWidth="1"/>
    <col min="6" max="6" width="18.140625" style="0" customWidth="1"/>
    <col min="7" max="7" width="21.8515625" style="0" customWidth="1"/>
    <col min="8" max="8" width="23.7109375" style="0" customWidth="1"/>
    <col min="9" max="9" width="23.57421875" style="0" hidden="1" customWidth="1"/>
    <col min="10" max="10" width="12.57421875" style="0" hidden="1" customWidth="1"/>
    <col min="11" max="11" width="12.28125" style="0" hidden="1" customWidth="1"/>
    <col min="12" max="12" width="16.00390625" style="0" hidden="1" customWidth="1"/>
    <col min="13" max="13" width="23.28125" style="0" customWidth="1"/>
    <col min="14" max="14" width="24.421875" style="0" customWidth="1"/>
    <col min="15" max="23" width="11.421875" style="21" customWidth="1"/>
  </cols>
  <sheetData>
    <row r="1" spans="2:14" s="21" customFormat="1" ht="15" customHeight="1">
      <c r="B1" s="325" t="s">
        <v>166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2:14" s="21" customFormat="1" ht="15" customHeight="1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 s="21" customFormat="1" ht="15" customHeight="1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2:14" s="21" customFormat="1" ht="15" customHeight="1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="21" customFormat="1" ht="15"/>
    <row r="6" spans="2:14" ht="26.25">
      <c r="B6" s="326" t="s">
        <v>37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23" s="8" customFormat="1" ht="31.5" customHeight="1">
      <c r="A7" s="98"/>
      <c r="B7" s="331" t="s">
        <v>165</v>
      </c>
      <c r="C7" s="331"/>
      <c r="D7" s="331"/>
      <c r="E7" s="331"/>
      <c r="F7" s="331"/>
      <c r="G7" s="331"/>
      <c r="H7" s="324" t="s">
        <v>164</v>
      </c>
      <c r="I7" s="324"/>
      <c r="J7" s="324"/>
      <c r="K7" s="324"/>
      <c r="L7" s="324"/>
      <c r="M7" s="324"/>
      <c r="N7" s="324"/>
      <c r="O7" s="98"/>
      <c r="P7" s="98"/>
      <c r="Q7" s="98"/>
      <c r="R7" s="98"/>
      <c r="S7" s="98"/>
      <c r="T7" s="98"/>
      <c r="U7" s="98"/>
      <c r="V7" s="98"/>
      <c r="W7" s="98"/>
    </row>
    <row r="8" spans="2:14" ht="25.5" customHeight="1">
      <c r="B8" s="328" t="s">
        <v>1</v>
      </c>
      <c r="C8" s="328"/>
      <c r="D8" s="328"/>
      <c r="E8" s="328" t="s">
        <v>19</v>
      </c>
      <c r="F8" s="327" t="s">
        <v>38</v>
      </c>
      <c r="G8" s="328">
        <v>2016</v>
      </c>
      <c r="H8" s="328"/>
      <c r="I8" s="329" t="s">
        <v>157</v>
      </c>
      <c r="J8" s="329" t="s">
        <v>154</v>
      </c>
      <c r="K8" s="329" t="s">
        <v>155</v>
      </c>
      <c r="L8" s="321" t="s">
        <v>156</v>
      </c>
      <c r="M8" s="321" t="s">
        <v>159</v>
      </c>
      <c r="N8" s="323" t="s">
        <v>160</v>
      </c>
    </row>
    <row r="9" spans="2:14" ht="84.75" customHeight="1">
      <c r="B9" s="328"/>
      <c r="C9" s="328"/>
      <c r="D9" s="328"/>
      <c r="E9" s="328"/>
      <c r="F9" s="328"/>
      <c r="G9" s="259" t="s">
        <v>173</v>
      </c>
      <c r="H9" s="9" t="s">
        <v>158</v>
      </c>
      <c r="I9" s="330"/>
      <c r="J9" s="329"/>
      <c r="K9" s="329"/>
      <c r="L9" s="322"/>
      <c r="M9" s="322"/>
      <c r="N9" s="323"/>
    </row>
    <row r="10" spans="2:14" ht="32.25" customHeight="1">
      <c r="B10" s="338" t="s">
        <v>149</v>
      </c>
      <c r="C10" s="338"/>
      <c r="D10" s="338"/>
      <c r="E10" s="10" t="s">
        <v>21</v>
      </c>
      <c r="F10" s="20">
        <f>'REG.IND.PLAN.RECT.POR TRIMESTRE'!L9</f>
        <v>0.9578655703702958</v>
      </c>
      <c r="G10" s="260">
        <f>L10</f>
        <v>1.0715120158746392</v>
      </c>
      <c r="H10" s="201">
        <f>'REG.IND.PLAN.RECT.POR TRIMESTRE'!Q9</f>
        <v>0.9876019051738567</v>
      </c>
      <c r="I10" s="202">
        <f>(F10-H10)/F10</f>
        <v>-0.031044371698280435</v>
      </c>
      <c r="J10" s="339">
        <f>'personas en el ITESZ Por año'!C22</f>
        <v>1963.8333333333333</v>
      </c>
      <c r="K10" s="339">
        <f>'personas en el ITESZ Por año'!D22</f>
        <v>2196.8333333333335</v>
      </c>
      <c r="L10" s="214">
        <f>K10*F10/J10</f>
        <v>1.0715120158746392</v>
      </c>
      <c r="M10" s="215">
        <f>L10-H10</f>
        <v>0.08391011070078247</v>
      </c>
      <c r="N10" s="217"/>
    </row>
    <row r="11" spans="2:14" ht="21.75" customHeight="1">
      <c r="B11" s="340" t="s">
        <v>22</v>
      </c>
      <c r="C11" s="340"/>
      <c r="D11" s="340"/>
      <c r="E11" s="11" t="s">
        <v>10</v>
      </c>
      <c r="F11" s="20">
        <f>'REG.IND.PLAN.RECT.POR TRIMESTRE'!L10</f>
        <v>4.971664292084424</v>
      </c>
      <c r="G11" s="260">
        <f>L11</f>
        <v>5.561529918863175</v>
      </c>
      <c r="H11" s="201">
        <f>'REG.IND.PLAN.RECT.POR TRIMESTRE'!Q10</f>
        <v>2.427213593237548</v>
      </c>
      <c r="I11" s="203">
        <f>(F11-H11)/F11</f>
        <v>0.5117905291590168</v>
      </c>
      <c r="J11" s="339"/>
      <c r="K11" s="339"/>
      <c r="L11" s="214">
        <f>K10*F11/J10</f>
        <v>5.561529918863175</v>
      </c>
      <c r="M11" s="216">
        <f>L11-H11</f>
        <v>3.134316325625627</v>
      </c>
      <c r="N11" s="6"/>
    </row>
    <row r="12" spans="2:14" ht="21.75" customHeight="1">
      <c r="B12" s="341" t="s">
        <v>23</v>
      </c>
      <c r="C12" s="341"/>
      <c r="D12" s="341"/>
      <c r="E12" s="12" t="s">
        <v>10</v>
      </c>
      <c r="F12" s="20">
        <f>'REG.IND.PLAN.RECT.POR TRIMESTRE'!L11</f>
        <v>6.0989010989010985</v>
      </c>
      <c r="G12" s="260">
        <f>L12</f>
        <v>6.822508307274496</v>
      </c>
      <c r="H12" s="201">
        <f>'REG.IND.PLAN.RECT.POR TRIMESTRE'!Q11</f>
        <v>8.286059113300492</v>
      </c>
      <c r="I12" s="202">
        <f>(F12-H12)/F12</f>
        <v>-0.3586150978564772</v>
      </c>
      <c r="J12" s="339"/>
      <c r="K12" s="339"/>
      <c r="L12" s="87">
        <f>K10*F12/J10</f>
        <v>6.822508307274496</v>
      </c>
      <c r="M12" s="215">
        <f>L12-H12</f>
        <v>-1.4635508060259967</v>
      </c>
      <c r="N12" s="6"/>
    </row>
    <row r="13" spans="2:14" ht="39.75" customHeight="1">
      <c r="B13" s="336" t="s">
        <v>24</v>
      </c>
      <c r="C13" s="336"/>
      <c r="D13" s="336"/>
      <c r="E13" s="13" t="s">
        <v>13</v>
      </c>
      <c r="F13" s="20">
        <f>'REG.IND.PLAN.RECT.POR TRIMESTRE'!L12</f>
        <v>193.33873532515128</v>
      </c>
      <c r="G13" s="260">
        <f>L13</f>
        <v>216.27750745317994</v>
      </c>
      <c r="H13" s="201">
        <f>'REG.IND.PLAN.RECT.POR TRIMESTRE'!Q12</f>
        <v>135.05424996898137</v>
      </c>
      <c r="I13" s="202">
        <f>(F13-H13)/F13</f>
        <v>0.30146305269944385</v>
      </c>
      <c r="J13" s="339"/>
      <c r="K13" s="339"/>
      <c r="L13" s="91">
        <f>K10*F13/J10</f>
        <v>216.27750745317994</v>
      </c>
      <c r="M13" s="216">
        <f>L13-H13</f>
        <v>81.22325748419857</v>
      </c>
      <c r="N13" s="6"/>
    </row>
    <row r="14" spans="2:4" s="21" customFormat="1" ht="30" customHeight="1">
      <c r="B14" s="342"/>
      <c r="C14" s="342"/>
      <c r="D14" s="342"/>
    </row>
    <row r="15" spans="4:9" s="21" customFormat="1" ht="12.75" customHeight="1" hidden="1">
      <c r="D15" s="337"/>
      <c r="E15" s="337"/>
      <c r="F15" s="337"/>
      <c r="G15" s="337"/>
      <c r="H15" s="337"/>
      <c r="I15" s="337"/>
    </row>
    <row r="16" spans="4:13" s="21" customFormat="1" ht="15" hidden="1">
      <c r="D16" s="223"/>
      <c r="H16" s="21" t="s">
        <v>33</v>
      </c>
      <c r="M16" s="21" t="str">
        <f>H7</f>
        <v>Fecha: 30 DE OCTUBRE DE 2016</v>
      </c>
    </row>
    <row r="17" s="21" customFormat="1" ht="15.75" hidden="1" thickBot="1"/>
    <row r="18" spans="2:9" s="21" customFormat="1" ht="15.75" hidden="1" thickBot="1">
      <c r="B18" s="224"/>
      <c r="C18" s="334" t="s">
        <v>25</v>
      </c>
      <c r="D18" s="334"/>
      <c r="E18" s="225"/>
      <c r="F18" s="225"/>
      <c r="G18" s="225"/>
      <c r="H18" s="225"/>
      <c r="I18" s="225"/>
    </row>
    <row r="19" spans="2:9" s="21" customFormat="1" ht="15.75" hidden="1" thickBot="1">
      <c r="B19" s="224"/>
      <c r="C19" s="334" t="s">
        <v>26</v>
      </c>
      <c r="D19" s="334"/>
      <c r="I19" s="25"/>
    </row>
    <row r="20" s="21" customFormat="1" ht="15" hidden="1">
      <c r="H20" s="222"/>
    </row>
    <row r="21" spans="2:9" s="21" customFormat="1" ht="15" customHeight="1" hidden="1">
      <c r="B21" s="333" t="s">
        <v>1</v>
      </c>
      <c r="C21" s="333"/>
      <c r="D21" s="333"/>
      <c r="E21" s="335" t="s">
        <v>27</v>
      </c>
      <c r="F21" s="333" t="s">
        <v>152</v>
      </c>
      <c r="G21" s="333"/>
      <c r="H21" s="335" t="s">
        <v>153</v>
      </c>
      <c r="I21" s="335" t="s">
        <v>30</v>
      </c>
    </row>
    <row r="22" spans="2:9" s="21" customFormat="1" ht="15" customHeight="1" hidden="1">
      <c r="B22" s="333"/>
      <c r="C22" s="333"/>
      <c r="D22" s="333"/>
      <c r="E22" s="335"/>
      <c r="F22" s="226" t="s">
        <v>29</v>
      </c>
      <c r="G22" s="226" t="s">
        <v>19</v>
      </c>
      <c r="H22" s="335"/>
      <c r="I22" s="335"/>
    </row>
    <row r="23" spans="2:9" s="21" customFormat="1" ht="55.5" customHeight="1" hidden="1">
      <c r="B23" s="332" t="s">
        <v>20</v>
      </c>
      <c r="C23" s="332"/>
      <c r="D23" s="332"/>
      <c r="E23" s="227" t="s">
        <v>28</v>
      </c>
      <c r="F23" s="228" t="str">
        <f>'REG.IND.PLAN.RECT.POR TRIMESTRE'!E9</f>
        <v>Reducir o mantener  de manera anual, con vigilancia mensual</v>
      </c>
      <c r="G23" s="229">
        <f>F10</f>
        <v>0.9578655703702958</v>
      </c>
      <c r="H23" s="229">
        <f>H10</f>
        <v>0.9876019051738567</v>
      </c>
      <c r="I23" s="229">
        <f>(G23-H23)/G23</f>
        <v>-0.031044371698280435</v>
      </c>
    </row>
    <row r="24" spans="2:9" s="21" customFormat="1" ht="33.75" hidden="1">
      <c r="B24" s="332" t="s">
        <v>22</v>
      </c>
      <c r="C24" s="332"/>
      <c r="D24" s="332"/>
      <c r="E24" s="227" t="s">
        <v>10</v>
      </c>
      <c r="F24" s="228" t="str">
        <f>'REG.IND.PLAN.RECT.POR TRIMESTRE'!E10</f>
        <v>Reducir o mantener de manera anual, con vigilancia mensual</v>
      </c>
      <c r="G24" s="229">
        <f>F11</f>
        <v>4.971664292084424</v>
      </c>
      <c r="H24" s="229">
        <f>H11</f>
        <v>2.427213593237548</v>
      </c>
      <c r="I24" s="229">
        <f>(G24-H24)/G24</f>
        <v>0.5117905291590168</v>
      </c>
    </row>
    <row r="25" spans="2:9" s="21" customFormat="1" ht="67.5" customHeight="1" hidden="1">
      <c r="B25" s="332" t="s">
        <v>23</v>
      </c>
      <c r="C25" s="332"/>
      <c r="D25" s="332"/>
      <c r="E25" s="227" t="s">
        <v>10</v>
      </c>
      <c r="F25" s="228" t="str">
        <f>'REG.IND.PLAN.RECT.POR TRIMESTRE'!E11</f>
        <v>Reducir o mantener  de manera anual, con vigilancia mensual</v>
      </c>
      <c r="G25" s="229">
        <f>F12</f>
        <v>6.0989010989010985</v>
      </c>
      <c r="H25" s="229">
        <f>H12</f>
        <v>8.286059113300492</v>
      </c>
      <c r="I25" s="229">
        <f>(G25-H25)/G25</f>
        <v>-0.3586150978564772</v>
      </c>
    </row>
    <row r="26" spans="2:9" s="21" customFormat="1" ht="64.5" customHeight="1" hidden="1">
      <c r="B26" s="332" t="s">
        <v>24</v>
      </c>
      <c r="C26" s="332"/>
      <c r="D26" s="332"/>
      <c r="E26" s="227" t="s">
        <v>13</v>
      </c>
      <c r="F26" s="228" t="str">
        <f>'REG.IND.PLAN.RECT.POR TRIMESTRE'!E12</f>
        <v>Reducir o mantener de manera anual, con vigilancia mensual</v>
      </c>
      <c r="G26" s="229">
        <f>F13</f>
        <v>193.33873532515128</v>
      </c>
      <c r="H26" s="229">
        <f>H13</f>
        <v>135.05424996898137</v>
      </c>
      <c r="I26" s="229">
        <f>(G26-H26)/G26</f>
        <v>0.30146305269944385</v>
      </c>
    </row>
    <row r="27" s="21" customFormat="1" ht="15" hidden="1"/>
    <row r="28" s="21" customFormat="1" ht="15" hidden="1">
      <c r="G28" s="75">
        <v>20</v>
      </c>
    </row>
    <row r="29" s="21" customFormat="1" ht="15">
      <c r="G29" s="75">
        <v>18</v>
      </c>
    </row>
    <row r="30" s="21" customFormat="1" ht="15">
      <c r="G30" s="75">
        <v>22</v>
      </c>
    </row>
    <row r="31" s="21" customFormat="1" ht="15">
      <c r="G31" s="75">
        <v>11</v>
      </c>
    </row>
    <row r="32" s="21" customFormat="1" ht="15">
      <c r="G32" s="75">
        <v>22</v>
      </c>
    </row>
    <row r="33" s="21" customFormat="1" ht="15">
      <c r="G33" s="75">
        <v>21</v>
      </c>
    </row>
    <row r="34" s="21" customFormat="1" ht="15">
      <c r="G34" s="75">
        <v>22</v>
      </c>
    </row>
    <row r="35" s="21" customFormat="1" ht="15">
      <c r="G35" s="75">
        <v>23</v>
      </c>
    </row>
    <row r="36" s="21" customFormat="1" ht="15">
      <c r="G36" s="75">
        <v>24</v>
      </c>
    </row>
    <row r="37" s="21" customFormat="1" ht="15">
      <c r="G37" s="75">
        <v>27</v>
      </c>
    </row>
    <row r="38" s="21" customFormat="1" ht="15">
      <c r="G38" s="75">
        <v>22</v>
      </c>
    </row>
    <row r="39" s="21" customFormat="1" ht="15">
      <c r="G39" s="75">
        <v>16</v>
      </c>
    </row>
    <row r="40" s="21" customFormat="1" ht="15">
      <c r="G40" s="75">
        <f>SUM(G28:G39)</f>
        <v>248</v>
      </c>
    </row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</sheetData>
  <sheetProtection/>
  <mergeCells count="33">
    <mergeCell ref="B26:D26"/>
    <mergeCell ref="B8:D9"/>
    <mergeCell ref="E8:E9"/>
    <mergeCell ref="C18:D18"/>
    <mergeCell ref="B11:D11"/>
    <mergeCell ref="B12:D12"/>
    <mergeCell ref="B14:D14"/>
    <mergeCell ref="B13:D13"/>
    <mergeCell ref="D15:I15"/>
    <mergeCell ref="B10:D10"/>
    <mergeCell ref="J8:J9"/>
    <mergeCell ref="K8:K9"/>
    <mergeCell ref="J10:J13"/>
    <mergeCell ref="K10:K13"/>
    <mergeCell ref="B25:D25"/>
    <mergeCell ref="F21:G21"/>
    <mergeCell ref="C19:D19"/>
    <mergeCell ref="H21:H22"/>
    <mergeCell ref="I21:I22"/>
    <mergeCell ref="B21:D22"/>
    <mergeCell ref="E21:E22"/>
    <mergeCell ref="B24:D24"/>
    <mergeCell ref="B23:D23"/>
    <mergeCell ref="M8:M9"/>
    <mergeCell ref="N8:N9"/>
    <mergeCell ref="H7:N7"/>
    <mergeCell ref="B1:N4"/>
    <mergeCell ref="B6:N6"/>
    <mergeCell ref="L8:L9"/>
    <mergeCell ref="F8:F9"/>
    <mergeCell ref="G8:H8"/>
    <mergeCell ref="I8:I9"/>
    <mergeCell ref="B7:G7"/>
  </mergeCells>
  <conditionalFormatting sqref="I11">
    <cfRule type="cellIs" priority="5" dxfId="0" operator="greaterThanOrEqual" stopIfTrue="1">
      <formula>'RESUMEN IND. DE CUMPLIMIENTO'!#REF!</formula>
    </cfRule>
    <cfRule type="cellIs" priority="6" dxfId="4" operator="lessThan" stopIfTrue="1">
      <formula>'RESUMEN IND. DE CUMPLIMIENTO'!#REF!</formula>
    </cfRule>
  </conditionalFormatting>
  <conditionalFormatting sqref="I12">
    <cfRule type="cellIs" priority="4" dxfId="0" operator="greaterThanOrEqual" stopIfTrue="1">
      <formula>$G$12</formula>
    </cfRule>
  </conditionalFormatting>
  <conditionalFormatting sqref="I13">
    <cfRule type="cellIs" priority="3" dxfId="0" operator="greaterThanOrEqual" stopIfTrue="1">
      <formula>$G$13</formula>
    </cfRule>
  </conditionalFormatting>
  <conditionalFormatting sqref="I10">
    <cfRule type="cellIs" priority="1" dxfId="1" operator="between" stopIfTrue="1">
      <formula>3</formula>
      <formula>5</formula>
    </cfRule>
    <cfRule type="cellIs" priority="2" dxfId="0" operator="greaterThanOrEqual" stopIfTrue="1">
      <formula>'RESUMEN IND. DE CUMPLIMIENTO'!#REF!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P2:V26"/>
  <sheetViews>
    <sheetView view="pageBreakPreview" zoomScaleSheetLayoutView="100" zoomScalePageLayoutView="0" workbookViewId="0" topLeftCell="A1">
      <selection activeCell="N26" sqref="N26"/>
    </sheetView>
  </sheetViews>
  <sheetFormatPr defaultColWidth="11.421875" defaultRowHeight="15"/>
  <cols>
    <col min="19" max="19" width="12.28125" style="0" bestFit="1" customWidth="1"/>
  </cols>
  <sheetData>
    <row r="2" spans="16:22" ht="47.25">
      <c r="P2" s="343" t="s">
        <v>35</v>
      </c>
      <c r="Q2" s="6"/>
      <c r="R2" s="7" t="s">
        <v>4</v>
      </c>
      <c r="S2" s="7" t="s">
        <v>5</v>
      </c>
      <c r="T2" s="7" t="s">
        <v>6</v>
      </c>
      <c r="U2" s="7" t="s">
        <v>7</v>
      </c>
      <c r="V2" s="7" t="s">
        <v>15</v>
      </c>
    </row>
    <row r="3" spans="16:22" ht="15">
      <c r="P3" s="343"/>
      <c r="Q3" s="6">
        <v>2015</v>
      </c>
      <c r="R3" s="15">
        <f>'REG.IND.PLAN.RECT.POR TRIMESTRE'!H9</f>
        <v>0.27603111174539746</v>
      </c>
      <c r="S3" s="15">
        <f>'REG.IND.PLAN.RECT.POR TRIMESTRE'!I9</f>
        <v>0.24207221350078492</v>
      </c>
      <c r="T3" s="15">
        <f>'REG.IND.PLAN.RECT.POR TRIMESTRE'!J9</f>
        <v>0.2604341201241135</v>
      </c>
      <c r="U3" s="15">
        <f>'REG.IND.PLAN.RECT.POR TRIMESTRE'!K9</f>
        <v>0.179328125</v>
      </c>
      <c r="V3" s="15">
        <f>'REG.IND.PLAN.RECT.POR TRIMESTRE'!L9</f>
        <v>0.9578655703702958</v>
      </c>
    </row>
    <row r="4" spans="16:22" ht="15">
      <c r="P4" s="343"/>
      <c r="Q4" s="6">
        <v>2016</v>
      </c>
      <c r="R4" s="15">
        <f>'REG.IND.PLAN.RECT.POR TRIMESTRE'!M9</f>
        <v>0.26312012348351516</v>
      </c>
      <c r="S4" s="15">
        <f>'REG.IND.PLAN.RECT.POR TRIMESTRE'!N9</f>
        <v>0.3069089277703006</v>
      </c>
      <c r="T4" s="15">
        <f>'REG.IND.PLAN.RECT.POR TRIMESTRE'!O9</f>
        <v>0.41757285392004095</v>
      </c>
      <c r="U4" s="15">
        <f>'REG.IND.PLAN.RECT.POR TRIMESTRE'!P9</f>
        <v>0</v>
      </c>
      <c r="V4" s="15">
        <f>'REG.IND.PLAN.RECT.POR TRIMESTRE'!Q9</f>
        <v>0.9876019051738567</v>
      </c>
    </row>
    <row r="6" spans="16:22" ht="47.25">
      <c r="P6" s="343" t="s">
        <v>16</v>
      </c>
      <c r="Q6" s="6"/>
      <c r="R6" s="7" t="s">
        <v>4</v>
      </c>
      <c r="S6" s="7" t="s">
        <v>5</v>
      </c>
      <c r="T6" s="7" t="s">
        <v>6</v>
      </c>
      <c r="U6" s="7" t="s">
        <v>7</v>
      </c>
      <c r="V6" s="7" t="s">
        <v>15</v>
      </c>
    </row>
    <row r="7" spans="16:22" ht="15">
      <c r="P7" s="343"/>
      <c r="Q7" s="6">
        <v>2015</v>
      </c>
      <c r="R7" s="15">
        <f>'REG.IND.PLAN.RECT.POR TRIMESTRE'!H10</f>
        <v>1.3988681091165562</v>
      </c>
      <c r="S7" s="15">
        <f>'REG.IND.PLAN.RECT.POR TRIMESTRE'!I10</f>
        <v>1.0068027210884354</v>
      </c>
      <c r="T7" s="15">
        <f>'REG.IND.PLAN.RECT.POR TRIMESTRE'!J10</f>
        <v>1.6027122118794328</v>
      </c>
      <c r="U7" s="15">
        <f>'REG.IND.PLAN.RECT.POR TRIMESTRE'!K10</f>
        <v>0.96328125</v>
      </c>
      <c r="V7" s="15">
        <f>'REG.IND.PLAN.RECT.POR TRIMESTRE'!L10</f>
        <v>4.971664292084424</v>
      </c>
    </row>
    <row r="8" spans="16:22" ht="15">
      <c r="P8" s="343"/>
      <c r="Q8" s="6">
        <v>2016</v>
      </c>
      <c r="R8" s="15">
        <f>'REG.IND.PLAN.RECT.POR TRIMESTRE'!M10</f>
        <v>1.578591406350491</v>
      </c>
      <c r="S8" s="15">
        <f>'REG.IND.PLAN.RECT.POR TRIMESTRE'!N10</f>
        <v>0.44104979811574696</v>
      </c>
      <c r="T8" s="15">
        <f>'REG.IND.PLAN.RECT.POR TRIMESTRE'!O10</f>
        <v>0.40757238877130963</v>
      </c>
      <c r="U8" s="15">
        <f>'REG.IND.PLAN.RECT.POR TRIMESTRE'!P10</f>
        <v>0</v>
      </c>
      <c r="V8" s="15">
        <f>'REG.IND.PLAN.RECT.POR TRIMESTRE'!Q10</f>
        <v>2.427213593237548</v>
      </c>
    </row>
    <row r="10" spans="16:22" ht="47.25">
      <c r="P10" s="344" t="s">
        <v>17</v>
      </c>
      <c r="Q10" s="6"/>
      <c r="R10" s="7" t="s">
        <v>4</v>
      </c>
      <c r="S10" s="7" t="s">
        <v>5</v>
      </c>
      <c r="T10" s="7" t="s">
        <v>6</v>
      </c>
      <c r="U10" s="7" t="s">
        <v>7</v>
      </c>
      <c r="V10" s="7" t="s">
        <v>15</v>
      </c>
    </row>
    <row r="11" spans="16:22" ht="15">
      <c r="P11" s="344"/>
      <c r="Q11" s="6">
        <v>2015</v>
      </c>
      <c r="R11" s="15">
        <f>'REG.IND.PLAN.RECT.POR TRIMESTRE'!H11</f>
        <v>3.2142857142857144</v>
      </c>
      <c r="S11" s="15">
        <f>'REG.IND.PLAN.RECT.POR TRIMESTRE'!I11</f>
        <v>0.956043956043956</v>
      </c>
      <c r="T11" s="15">
        <f>'REG.IND.PLAN.RECT.POR TRIMESTRE'!J11</f>
        <v>1.3241758241758244</v>
      </c>
      <c r="U11" s="15">
        <f>'REG.IND.PLAN.RECT.POR TRIMESTRE'!K11</f>
        <v>0.6043956043956045</v>
      </c>
      <c r="V11" s="15">
        <f>'REG.IND.PLAN.RECT.POR TRIMESTRE'!L11</f>
        <v>6.0989010989010985</v>
      </c>
    </row>
    <row r="12" spans="16:22" ht="15">
      <c r="P12" s="344"/>
      <c r="Q12" s="6">
        <v>2016</v>
      </c>
      <c r="R12" s="15">
        <f>'REG.IND.PLAN.RECT.POR TRIMESTRE'!M11</f>
        <v>2.4712807881773395</v>
      </c>
      <c r="S12" s="15">
        <f>'REG.IND.PLAN.RECT.POR TRIMESTRE'!N11</f>
        <v>3.5783251231527093</v>
      </c>
      <c r="T12" s="15">
        <f>'REG.IND.PLAN.RECT.POR TRIMESTRE'!O11</f>
        <v>2.2364532019704435</v>
      </c>
      <c r="U12" s="15">
        <f>'REG.IND.PLAN.RECT.POR TRIMESTRE'!P11</f>
        <v>0</v>
      </c>
      <c r="V12" s="15">
        <f>'REG.IND.PLAN.RECT.POR TRIMESTRE'!Q11</f>
        <v>8.286059113300492</v>
      </c>
    </row>
    <row r="14" spans="16:22" ht="47.25">
      <c r="P14" s="343" t="s">
        <v>18</v>
      </c>
      <c r="Q14" s="6"/>
      <c r="R14" s="7" t="s">
        <v>4</v>
      </c>
      <c r="S14" s="7" t="s">
        <v>5</v>
      </c>
      <c r="T14" s="7" t="s">
        <v>6</v>
      </c>
      <c r="U14" s="7" t="s">
        <v>7</v>
      </c>
      <c r="V14" s="7" t="s">
        <v>15</v>
      </c>
    </row>
    <row r="15" spans="16:22" ht="15">
      <c r="P15" s="343"/>
      <c r="Q15" s="6">
        <v>2015</v>
      </c>
      <c r="R15" s="15">
        <f>'REG.IND.PLAN.RECT.POR TRIMESTRE'!H12</f>
        <v>69.5554383504694</v>
      </c>
      <c r="S15" s="15">
        <f>'REG.IND.PLAN.RECT.POR TRIMESTRE'!I12</f>
        <v>43.968602825745684</v>
      </c>
      <c r="T15" s="15">
        <f>'REG.IND.PLAN.RECT.POR TRIMESTRE'!J12</f>
        <v>46.15844414893617</v>
      </c>
      <c r="U15" s="15">
        <f>'REG.IND.PLAN.RECT.POR TRIMESTRE'!K12</f>
        <v>33.65625</v>
      </c>
      <c r="V15" s="15">
        <f>'REG.IND.PLAN.RECT.POR TRIMESTRE'!L12</f>
        <v>193.33873532515128</v>
      </c>
    </row>
    <row r="16" spans="16:22" ht="15">
      <c r="P16" s="343"/>
      <c r="Q16" s="6">
        <v>2016</v>
      </c>
      <c r="R16" s="15">
        <f>'REG.IND.PLAN.RECT.POR TRIMESTRE'!M12</f>
        <v>59.26920253367091</v>
      </c>
      <c r="S16" s="15">
        <f>'REG.IND.PLAN.RECT.POR TRIMESTRE'!N12</f>
        <v>37.64737550471064</v>
      </c>
      <c r="T16" s="15">
        <f>'REG.IND.PLAN.RECT.POR TRIMESTRE'!O12</f>
        <v>38.13767193059981</v>
      </c>
      <c r="U16" s="15">
        <f>'REG.IND.PLAN.RECT.POR TRIMESTRE'!P12</f>
        <v>0</v>
      </c>
      <c r="V16" s="15">
        <f>'REG.IND.PLAN.RECT.POR TRIMESTRE'!Q12</f>
        <v>135.05424996898137</v>
      </c>
    </row>
    <row r="20" spans="16:22" ht="47.25">
      <c r="P20" s="343" t="s">
        <v>31</v>
      </c>
      <c r="Q20" s="6"/>
      <c r="R20" s="7" t="s">
        <v>4</v>
      </c>
      <c r="S20" s="7" t="s">
        <v>5</v>
      </c>
      <c r="T20" s="7" t="s">
        <v>6</v>
      </c>
      <c r="U20" s="7" t="s">
        <v>7</v>
      </c>
      <c r="V20" s="7" t="s">
        <v>15</v>
      </c>
    </row>
    <row r="21" spans="16:22" ht="15">
      <c r="P21" s="343"/>
      <c r="Q21" s="6">
        <v>2015</v>
      </c>
      <c r="R21" s="15">
        <f>'REG.IND.PLAN.RECT.POR TRIMESTRE'!H9</f>
        <v>0.27603111174539746</v>
      </c>
      <c r="S21" s="15">
        <f>'REG.IND.PLAN.RECT.POR TRIMESTRE'!I9</f>
        <v>0.24207221350078492</v>
      </c>
      <c r="T21" s="15">
        <f>'REG.IND.PLAN.RECT.POR TRIMESTRE'!J9</f>
        <v>0.2604341201241135</v>
      </c>
      <c r="U21" s="15">
        <f>'REG.IND.PLAN.RECT.POR TRIMESTRE'!K9</f>
        <v>0.179328125</v>
      </c>
      <c r="V21" s="15">
        <f>'REG.IND.PLAN.RECT.POR TRIMESTRE'!L9</f>
        <v>0.9578655703702958</v>
      </c>
    </row>
    <row r="22" spans="16:22" ht="15">
      <c r="P22" s="343"/>
      <c r="Q22" s="6">
        <v>2016</v>
      </c>
      <c r="R22" s="15">
        <f>'REG.IND.PLAN.RECT.POR TRIMESTRE'!M9</f>
        <v>0.26312012348351516</v>
      </c>
      <c r="S22" s="15">
        <f>'REG.IND.PLAN.RECT.POR TRIMESTRE'!N9</f>
        <v>0.3069089277703006</v>
      </c>
      <c r="T22" s="15">
        <f>'REG.IND.PLAN.RECT.POR TRIMESTRE'!O9</f>
        <v>0.41757285392004095</v>
      </c>
      <c r="U22" s="15">
        <f>'REG.IND.PLAN.RECT.POR TRIMESTRE'!P9</f>
        <v>0</v>
      </c>
      <c r="V22" s="17">
        <f>'REG.IND.PLAN.RECT.POR TRIMESTRE'!Q9</f>
        <v>0.9876019051738567</v>
      </c>
    </row>
    <row r="26" ht="15">
      <c r="P26" t="s">
        <v>34</v>
      </c>
    </row>
  </sheetData>
  <sheetProtection/>
  <mergeCells count="5">
    <mergeCell ref="P2:P4"/>
    <mergeCell ref="P6:P8"/>
    <mergeCell ref="P10:P12"/>
    <mergeCell ref="P14:P16"/>
    <mergeCell ref="P20:P22"/>
  </mergeCells>
  <printOptions/>
  <pageMargins left="0.7" right="0.7" top="0.75" bottom="0.75" header="0.3" footer="0.3"/>
  <pageSetup horizontalDpi="600" verticalDpi="600" orientation="portrait" r:id="rId2"/>
  <colBreaks count="1" manualBreakCount="1">
    <brk id="14" max="2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G26"/>
  <sheetViews>
    <sheetView zoomScalePageLayoutView="0" workbookViewId="0" topLeftCell="A1">
      <selection activeCell="H22" sqref="H22"/>
    </sheetView>
  </sheetViews>
  <sheetFormatPr defaultColWidth="11.421875" defaultRowHeight="15"/>
  <sheetData>
    <row r="7" spans="2:4" ht="15">
      <c r="B7" s="58" t="s">
        <v>46</v>
      </c>
      <c r="C7" s="270" t="s">
        <v>148</v>
      </c>
      <c r="D7" s="270"/>
    </row>
    <row r="8" spans="2:4" ht="15">
      <c r="B8" s="189" t="s">
        <v>47</v>
      </c>
      <c r="C8" s="189">
        <v>2015</v>
      </c>
      <c r="D8" s="189">
        <v>2016</v>
      </c>
    </row>
    <row r="9" spans="2:7" ht="15">
      <c r="B9" s="45" t="s">
        <v>52</v>
      </c>
      <c r="C9" s="86">
        <f>351+155</f>
        <v>506</v>
      </c>
      <c r="D9" s="29">
        <f>413+159</f>
        <v>572</v>
      </c>
      <c r="F9">
        <f>1756*0.2</f>
        <v>351.20000000000005</v>
      </c>
      <c r="G9">
        <v>1</v>
      </c>
    </row>
    <row r="10" spans="2:6" ht="15">
      <c r="B10" s="45" t="s">
        <v>53</v>
      </c>
      <c r="C10" s="86">
        <f>1756+155</f>
        <v>1911</v>
      </c>
      <c r="D10" s="29">
        <f>2067+162</f>
        <v>2229</v>
      </c>
      <c r="F10">
        <f>2067*0.2</f>
        <v>413.40000000000003</v>
      </c>
    </row>
    <row r="11" spans="2:4" ht="15">
      <c r="B11" s="45" t="s">
        <v>54</v>
      </c>
      <c r="C11" s="86">
        <f>1756+155</f>
        <v>1911</v>
      </c>
      <c r="D11" s="29">
        <f>2067+162</f>
        <v>2229</v>
      </c>
    </row>
    <row r="12" spans="2:4" ht="15">
      <c r="B12" s="45" t="s">
        <v>55</v>
      </c>
      <c r="C12" s="86">
        <f>1756+155</f>
        <v>1911</v>
      </c>
      <c r="D12" s="29">
        <f>2067+162</f>
        <v>2229</v>
      </c>
    </row>
    <row r="13" spans="2:4" ht="15">
      <c r="B13" s="45" t="s">
        <v>56</v>
      </c>
      <c r="C13" s="86">
        <f>1756+155</f>
        <v>1911</v>
      </c>
      <c r="D13" s="29">
        <f>2067+162</f>
        <v>2229</v>
      </c>
    </row>
    <row r="14" spans="2:4" ht="15">
      <c r="B14" s="45" t="s">
        <v>57</v>
      </c>
      <c r="C14" s="86">
        <f>1756+155</f>
        <v>1911</v>
      </c>
      <c r="D14" s="29">
        <f>2067+162</f>
        <v>2229</v>
      </c>
    </row>
    <row r="15" spans="2:4" ht="15">
      <c r="B15" s="48" t="s">
        <v>62</v>
      </c>
      <c r="C15" s="190">
        <v>705</v>
      </c>
      <c r="D15" s="29">
        <v>775</v>
      </c>
    </row>
    <row r="16" spans="2:4" ht="15">
      <c r="B16" s="45" t="s">
        <v>65</v>
      </c>
      <c r="C16" s="86">
        <f>160+2400</f>
        <v>2560</v>
      </c>
      <c r="D16" s="34">
        <f>2610+164</f>
        <v>2774</v>
      </c>
    </row>
    <row r="17" spans="2:4" ht="15">
      <c r="B17" s="45" t="s">
        <v>66</v>
      </c>
      <c r="C17" s="86">
        <f>160+2400</f>
        <v>2560</v>
      </c>
      <c r="D17" s="34">
        <f>2610+164</f>
        <v>2774</v>
      </c>
    </row>
    <row r="18" spans="2:4" ht="15">
      <c r="B18" s="45" t="s">
        <v>67</v>
      </c>
      <c r="C18" s="86">
        <f>160+2400</f>
        <v>2560</v>
      </c>
      <c r="D18" s="34">
        <f>2610+164</f>
        <v>2774</v>
      </c>
    </row>
    <row r="19" spans="2:4" ht="15">
      <c r="B19" s="45" t="s">
        <v>68</v>
      </c>
      <c r="C19" s="86">
        <f>160+2400</f>
        <v>2560</v>
      </c>
      <c r="D19" s="34">
        <f>2610+164</f>
        <v>2774</v>
      </c>
    </row>
    <row r="20" spans="2:5" ht="15">
      <c r="B20" s="45" t="s">
        <v>69</v>
      </c>
      <c r="C20" s="86">
        <f>160+2400</f>
        <v>2560</v>
      </c>
      <c r="D20" s="34">
        <f>2610+164</f>
        <v>2774</v>
      </c>
      <c r="E20" s="14"/>
    </row>
    <row r="21" spans="2:4" ht="15">
      <c r="B21" s="41" t="s">
        <v>70</v>
      </c>
      <c r="C21" s="193">
        <f>SUM(C9:C20)</f>
        <v>23566</v>
      </c>
      <c r="D21" s="193">
        <f>SUM(D9:D20)</f>
        <v>26362</v>
      </c>
    </row>
    <row r="22" spans="3:4" ht="15">
      <c r="C22" s="213">
        <f>AVERAGE(C9:C20)</f>
        <v>1963.8333333333333</v>
      </c>
      <c r="D22" s="213">
        <f>AVERAGE(D9:D20)</f>
        <v>2196.8333333333335</v>
      </c>
    </row>
    <row r="24" spans="3:4" ht="15">
      <c r="C24">
        <f>C22</f>
        <v>1963.8333333333333</v>
      </c>
      <c r="D24">
        <v>100</v>
      </c>
    </row>
    <row r="25" ht="15">
      <c r="C25">
        <f>D22</f>
        <v>2196.8333333333335</v>
      </c>
    </row>
    <row r="26" ht="15">
      <c r="D26" s="14">
        <f>((C25*D24)/C24)-100</f>
        <v>11.864550623780033</v>
      </c>
    </row>
  </sheetData>
  <sheetProtection/>
  <mergeCells count="1"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ITST</dc:creator>
  <cp:keywords/>
  <dc:description/>
  <cp:lastModifiedBy>windows</cp:lastModifiedBy>
  <cp:lastPrinted>2016-11-05T19:57:39Z</cp:lastPrinted>
  <dcterms:created xsi:type="dcterms:W3CDTF">2011-11-22T16:29:23Z</dcterms:created>
  <dcterms:modified xsi:type="dcterms:W3CDTF">2016-11-17T16:13:46Z</dcterms:modified>
  <cp:category/>
  <cp:version/>
  <cp:contentType/>
  <cp:contentStatus/>
</cp:coreProperties>
</file>